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kn\Documents\OneDrive - Queen's University\Documents\Headship files\covid\research restart working grou\phase two docs\draft phase 2 docs\"/>
    </mc:Choice>
  </mc:AlternateContent>
  <xr:revisionPtr revIDLastSave="329" documentId="8_{2545350A-A34E-43BE-BE4C-2E6797B25E38}" xr6:coauthVersionLast="45" xr6:coauthVersionMax="45" xr10:uidLastSave="{67C55631-06EB-42FD-B8C0-CC1251AB292E}"/>
  <bookViews>
    <workbookView xWindow="-93" yWindow="-93" windowWidth="25786" windowHeight="14586" xr2:uid="{1E1977B5-84F3-4820-8C69-3DDC83666248}"/>
  </bookViews>
  <sheets>
    <sheet name="Floor 1" sheetId="2" r:id="rId1"/>
    <sheet name="Floor 2" sheetId="3" r:id="rId2"/>
    <sheet name="Floor 3" sheetId="4" r:id="rId3"/>
    <sheet name="Floor 4" sheetId="5" r:id="rId4"/>
    <sheet name="Floor 5" sheetId="6" r:id="rId5"/>
    <sheet name="Room Data" sheetId="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3" l="1"/>
  <c r="D12" i="3"/>
  <c r="E12" i="3"/>
  <c r="B12" i="3"/>
  <c r="C26" i="2"/>
  <c r="D26" i="2"/>
  <c r="E26" i="2"/>
  <c r="B26" i="2"/>
  <c r="I16" i="6" l="1"/>
  <c r="J16" i="6"/>
  <c r="K16" i="6"/>
  <c r="H16" i="6"/>
  <c r="I15" i="6"/>
  <c r="J15" i="6" s="1"/>
  <c r="K15" i="6" s="1"/>
  <c r="I10" i="6"/>
  <c r="J10" i="6"/>
  <c r="K10" i="6"/>
  <c r="H10" i="6"/>
  <c r="K3" i="6"/>
  <c r="J3" i="6"/>
  <c r="J7" i="6"/>
  <c r="K7" i="6" s="1"/>
  <c r="J8" i="6"/>
  <c r="K8" i="6" s="1"/>
  <c r="I3" i="6"/>
  <c r="I4" i="6"/>
  <c r="J4" i="6" s="1"/>
  <c r="K4" i="6" s="1"/>
  <c r="I5" i="6"/>
  <c r="J5" i="6" s="1"/>
  <c r="K5" i="6" s="1"/>
  <c r="I6" i="6"/>
  <c r="J6" i="6" s="1"/>
  <c r="K6" i="6" s="1"/>
  <c r="I7" i="6"/>
  <c r="I8" i="6"/>
  <c r="I9" i="6"/>
  <c r="J9" i="6" s="1"/>
  <c r="K9" i="6" s="1"/>
  <c r="B47" i="6"/>
  <c r="D31" i="6"/>
  <c r="E31" i="6" s="1"/>
  <c r="C11" i="6"/>
  <c r="D11" i="6" s="1"/>
  <c r="E11" i="6" s="1"/>
  <c r="C14" i="6"/>
  <c r="D14" i="6" s="1"/>
  <c r="E14" i="6" s="1"/>
  <c r="C16" i="6"/>
  <c r="D16" i="6" s="1"/>
  <c r="E16" i="6" s="1"/>
  <c r="C20" i="6"/>
  <c r="D20" i="6" s="1"/>
  <c r="E20" i="6" s="1"/>
  <c r="C22" i="6"/>
  <c r="D22" i="6" s="1"/>
  <c r="E22" i="6" s="1"/>
  <c r="C28" i="6"/>
  <c r="D28" i="6" s="1"/>
  <c r="E28" i="6" s="1"/>
  <c r="C31" i="6"/>
  <c r="C36" i="6"/>
  <c r="D36" i="6" s="1"/>
  <c r="E36" i="6" s="1"/>
  <c r="C37" i="6"/>
  <c r="D37" i="6" s="1"/>
  <c r="E37" i="6" s="1"/>
  <c r="C38" i="6"/>
  <c r="D38" i="6" s="1"/>
  <c r="E38" i="6" s="1"/>
  <c r="C41" i="6"/>
  <c r="D41" i="6" s="1"/>
  <c r="E41" i="6" s="1"/>
  <c r="C44" i="6"/>
  <c r="D44" i="6" s="1"/>
  <c r="E44" i="6" s="1"/>
  <c r="C9" i="6"/>
  <c r="D9" i="6" s="1"/>
  <c r="E9" i="6" s="1"/>
  <c r="C10" i="6"/>
  <c r="D10" i="6" s="1"/>
  <c r="E10" i="6" s="1"/>
  <c r="C12" i="6"/>
  <c r="D12" i="6" s="1"/>
  <c r="E12" i="6" s="1"/>
  <c r="C13" i="6"/>
  <c r="D13" i="6" s="1"/>
  <c r="E13" i="6" s="1"/>
  <c r="C15" i="6"/>
  <c r="D15" i="6" s="1"/>
  <c r="E15" i="6" s="1"/>
  <c r="C17" i="6"/>
  <c r="D17" i="6" s="1"/>
  <c r="E17" i="6" s="1"/>
  <c r="C18" i="6"/>
  <c r="D18" i="6" s="1"/>
  <c r="E18" i="6" s="1"/>
  <c r="C19" i="6"/>
  <c r="D19" i="6" s="1"/>
  <c r="E19" i="6" s="1"/>
  <c r="C21" i="6"/>
  <c r="D21" i="6" s="1"/>
  <c r="E21" i="6" s="1"/>
  <c r="C23" i="6"/>
  <c r="D23" i="6" s="1"/>
  <c r="E23" i="6" s="1"/>
  <c r="C24" i="6"/>
  <c r="D24" i="6" s="1"/>
  <c r="E24" i="6" s="1"/>
  <c r="C25" i="6"/>
  <c r="D25" i="6" s="1"/>
  <c r="E25" i="6" s="1"/>
  <c r="C26" i="6"/>
  <c r="D26" i="6" s="1"/>
  <c r="E26" i="6" s="1"/>
  <c r="C27" i="6"/>
  <c r="D27" i="6" s="1"/>
  <c r="E27" i="6" s="1"/>
  <c r="C29" i="6"/>
  <c r="D29" i="6" s="1"/>
  <c r="E29" i="6" s="1"/>
  <c r="C30" i="6"/>
  <c r="D30" i="6" s="1"/>
  <c r="E30" i="6" s="1"/>
  <c r="C32" i="6"/>
  <c r="D32" i="6" s="1"/>
  <c r="E32" i="6" s="1"/>
  <c r="C33" i="6"/>
  <c r="D33" i="6" s="1"/>
  <c r="E33" i="6" s="1"/>
  <c r="C34" i="6"/>
  <c r="D34" i="6" s="1"/>
  <c r="E34" i="6" s="1"/>
  <c r="C35" i="6"/>
  <c r="D35" i="6" s="1"/>
  <c r="E35" i="6" s="1"/>
  <c r="C39" i="6"/>
  <c r="D39" i="6" s="1"/>
  <c r="E39" i="6" s="1"/>
  <c r="C40" i="6"/>
  <c r="D40" i="6" s="1"/>
  <c r="E40" i="6" s="1"/>
  <c r="C42" i="6"/>
  <c r="D42" i="6" s="1"/>
  <c r="E42" i="6" s="1"/>
  <c r="C43" i="6"/>
  <c r="D43" i="6" s="1"/>
  <c r="E43" i="6" s="1"/>
  <c r="C45" i="6"/>
  <c r="D45" i="6" s="1"/>
  <c r="E45" i="6" s="1"/>
  <c r="C46" i="6"/>
  <c r="D46" i="6" s="1"/>
  <c r="E46" i="6" s="1"/>
  <c r="B4" i="6"/>
  <c r="C4" i="6"/>
  <c r="D4" i="6" s="1"/>
  <c r="E4" i="6" s="1"/>
  <c r="C3" i="6"/>
  <c r="D3" i="6" s="1"/>
  <c r="E3" i="6" s="1"/>
  <c r="C25" i="5"/>
  <c r="D25" i="5"/>
  <c r="E25" i="5"/>
  <c r="B25" i="5"/>
  <c r="C23" i="5"/>
  <c r="D23" i="5" s="1"/>
  <c r="E23" i="5" s="1"/>
  <c r="C24" i="5"/>
  <c r="D24" i="5" s="1"/>
  <c r="E24" i="5" s="1"/>
  <c r="B18" i="5"/>
  <c r="D3" i="5"/>
  <c r="E3" i="5" s="1"/>
  <c r="D7" i="5"/>
  <c r="E7" i="5" s="1"/>
  <c r="D8" i="5"/>
  <c r="E8" i="5" s="1"/>
  <c r="D10" i="5"/>
  <c r="E10" i="5" s="1"/>
  <c r="D15" i="5"/>
  <c r="E15" i="5" s="1"/>
  <c r="C17" i="5"/>
  <c r="D17" i="5" s="1"/>
  <c r="E17" i="5" s="1"/>
  <c r="C3" i="5"/>
  <c r="C18" i="5" s="1"/>
  <c r="C7" i="5"/>
  <c r="C8" i="5"/>
  <c r="C9" i="5"/>
  <c r="D9" i="5" s="1"/>
  <c r="E9" i="5" s="1"/>
  <c r="C11" i="5"/>
  <c r="D11" i="5" s="1"/>
  <c r="E11" i="5" s="1"/>
  <c r="C12" i="5"/>
  <c r="D12" i="5" s="1"/>
  <c r="E12" i="5" s="1"/>
  <c r="C13" i="5"/>
  <c r="D13" i="5" s="1"/>
  <c r="E13" i="5" s="1"/>
  <c r="C14" i="5"/>
  <c r="D14" i="5" s="1"/>
  <c r="E14" i="5" s="1"/>
  <c r="C16" i="5"/>
  <c r="D16" i="5" s="1"/>
  <c r="E16" i="5" s="1"/>
  <c r="C4" i="5"/>
  <c r="D4" i="5" s="1"/>
  <c r="E4" i="5" s="1"/>
  <c r="C5" i="5"/>
  <c r="D5" i="5" s="1"/>
  <c r="E5" i="5" s="1"/>
  <c r="C6" i="5"/>
  <c r="D6" i="5" s="1"/>
  <c r="E6" i="5" s="1"/>
  <c r="C10" i="5"/>
  <c r="C15" i="5"/>
  <c r="I4" i="5"/>
  <c r="J4" i="5"/>
  <c r="K4" i="5" s="1"/>
  <c r="I5" i="5"/>
  <c r="J5" i="5" s="1"/>
  <c r="K5" i="5" s="1"/>
  <c r="H11" i="5"/>
  <c r="I6" i="5"/>
  <c r="I3" i="5"/>
  <c r="J3" i="5" s="1"/>
  <c r="K3" i="5" s="1"/>
  <c r="I7" i="5"/>
  <c r="J7" i="5" s="1"/>
  <c r="K7" i="5" s="1"/>
  <c r="I8" i="5"/>
  <c r="J8" i="5" s="1"/>
  <c r="K8" i="5" s="1"/>
  <c r="I9" i="5"/>
  <c r="J9" i="5" s="1"/>
  <c r="K9" i="5" s="1"/>
  <c r="I10" i="5"/>
  <c r="J10" i="5" s="1"/>
  <c r="K10" i="5" s="1"/>
  <c r="C18" i="4"/>
  <c r="D18" i="4"/>
  <c r="E18" i="4"/>
  <c r="B18" i="4"/>
  <c r="C16" i="4"/>
  <c r="D16" i="4" s="1"/>
  <c r="E16" i="4" s="1"/>
  <c r="C17" i="4"/>
  <c r="D17" i="4" s="1"/>
  <c r="E17" i="4" s="1"/>
  <c r="H46" i="4"/>
  <c r="K28" i="4"/>
  <c r="K29" i="4"/>
  <c r="J28" i="4"/>
  <c r="J29" i="4"/>
  <c r="J31" i="4"/>
  <c r="K31" i="4" s="1"/>
  <c r="J35" i="4"/>
  <c r="K35" i="4" s="1"/>
  <c r="J41" i="4"/>
  <c r="K41" i="4" s="1"/>
  <c r="J42" i="4"/>
  <c r="K42" i="4" s="1"/>
  <c r="J5" i="4"/>
  <c r="K5" i="4" s="1"/>
  <c r="J10" i="4"/>
  <c r="K10" i="4" s="1"/>
  <c r="J16" i="4"/>
  <c r="K16" i="4" s="1"/>
  <c r="J17" i="4"/>
  <c r="K17" i="4" s="1"/>
  <c r="J22" i="4"/>
  <c r="K22" i="4" s="1"/>
  <c r="I25" i="4"/>
  <c r="J25" i="4" s="1"/>
  <c r="K25" i="4" s="1"/>
  <c r="I26" i="4"/>
  <c r="J26" i="4" s="1"/>
  <c r="K26" i="4" s="1"/>
  <c r="I27" i="4"/>
  <c r="J27" i="4" s="1"/>
  <c r="K27" i="4" s="1"/>
  <c r="I28" i="4"/>
  <c r="I29" i="4"/>
  <c r="I30" i="4"/>
  <c r="J30" i="4" s="1"/>
  <c r="K30" i="4" s="1"/>
  <c r="I31" i="4"/>
  <c r="I32" i="4"/>
  <c r="J32" i="4" s="1"/>
  <c r="K32" i="4" s="1"/>
  <c r="I33" i="4"/>
  <c r="J33" i="4" s="1"/>
  <c r="K33" i="4" s="1"/>
  <c r="I34" i="4"/>
  <c r="J34" i="4" s="1"/>
  <c r="K34" i="4" s="1"/>
  <c r="I35" i="4"/>
  <c r="I37" i="4"/>
  <c r="J37" i="4" s="1"/>
  <c r="K37" i="4" s="1"/>
  <c r="I38" i="4"/>
  <c r="J38" i="4" s="1"/>
  <c r="K38" i="4" s="1"/>
  <c r="I39" i="4"/>
  <c r="J39" i="4" s="1"/>
  <c r="K39" i="4" s="1"/>
  <c r="I40" i="4"/>
  <c r="J40" i="4" s="1"/>
  <c r="K40" i="4" s="1"/>
  <c r="I41" i="4"/>
  <c r="I42" i="4"/>
  <c r="I43" i="4"/>
  <c r="J43" i="4" s="1"/>
  <c r="K43" i="4" s="1"/>
  <c r="I44" i="4"/>
  <c r="J44" i="4" s="1"/>
  <c r="K44" i="4" s="1"/>
  <c r="I45" i="4"/>
  <c r="J45" i="4" s="1"/>
  <c r="K45" i="4" s="1"/>
  <c r="I3" i="4"/>
  <c r="I46" i="4" s="1"/>
  <c r="I4" i="4"/>
  <c r="J4" i="4" s="1"/>
  <c r="K4" i="4" s="1"/>
  <c r="I5" i="4"/>
  <c r="I6" i="4"/>
  <c r="J6" i="4" s="1"/>
  <c r="K6" i="4" s="1"/>
  <c r="I7" i="4"/>
  <c r="J7" i="4" s="1"/>
  <c r="K7" i="4" s="1"/>
  <c r="I8" i="4"/>
  <c r="J8" i="4" s="1"/>
  <c r="K8" i="4" s="1"/>
  <c r="I9" i="4"/>
  <c r="J9" i="4" s="1"/>
  <c r="K9" i="4" s="1"/>
  <c r="I10" i="4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I17" i="4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I23" i="4"/>
  <c r="J23" i="4" s="1"/>
  <c r="K23" i="4" s="1"/>
  <c r="I24" i="4"/>
  <c r="J24" i="4" s="1"/>
  <c r="K24" i="4" s="1"/>
  <c r="I36" i="4"/>
  <c r="J36" i="4" s="1"/>
  <c r="K36" i="4" s="1"/>
  <c r="C11" i="4"/>
  <c r="D11" i="4"/>
  <c r="E11" i="4"/>
  <c r="B11" i="4"/>
  <c r="C9" i="4"/>
  <c r="D9" i="4" s="1"/>
  <c r="E9" i="4" s="1"/>
  <c r="C10" i="4"/>
  <c r="D10" i="4" s="1"/>
  <c r="E10" i="4" s="1"/>
  <c r="C4" i="4"/>
  <c r="D4" i="4"/>
  <c r="E4" i="4"/>
  <c r="B4" i="4"/>
  <c r="C3" i="4"/>
  <c r="D3" i="4" s="1"/>
  <c r="E3" i="4" s="1"/>
  <c r="B30" i="3"/>
  <c r="C23" i="3"/>
  <c r="D23" i="3" s="1"/>
  <c r="C24" i="3"/>
  <c r="D24" i="3" s="1"/>
  <c r="E24" i="3" s="1"/>
  <c r="C25" i="3"/>
  <c r="D25" i="3" s="1"/>
  <c r="E25" i="3" s="1"/>
  <c r="C26" i="3"/>
  <c r="D26" i="3" s="1"/>
  <c r="E26" i="3" s="1"/>
  <c r="C27" i="3"/>
  <c r="D27" i="3" s="1"/>
  <c r="E27" i="3" s="1"/>
  <c r="C28" i="3"/>
  <c r="D28" i="3" s="1"/>
  <c r="E28" i="3" s="1"/>
  <c r="C29" i="3"/>
  <c r="D29" i="3" s="1"/>
  <c r="E29" i="3" s="1"/>
  <c r="C22" i="3"/>
  <c r="D22" i="3" s="1"/>
  <c r="E22" i="3" s="1"/>
  <c r="B17" i="3"/>
  <c r="C16" i="3"/>
  <c r="D16" i="3" s="1"/>
  <c r="E16" i="3" s="1"/>
  <c r="E17" i="3" s="1"/>
  <c r="B11" i="3"/>
  <c r="C3" i="3"/>
  <c r="D3" i="3" s="1"/>
  <c r="E3" i="3" s="1"/>
  <c r="C4" i="3"/>
  <c r="D4" i="3" s="1"/>
  <c r="E4" i="3" s="1"/>
  <c r="C5" i="3"/>
  <c r="D5" i="3" s="1"/>
  <c r="E5" i="3" s="1"/>
  <c r="C6" i="3"/>
  <c r="D6" i="3" s="1"/>
  <c r="E6" i="3" s="1"/>
  <c r="C7" i="3"/>
  <c r="D7" i="3" s="1"/>
  <c r="E7" i="3" s="1"/>
  <c r="C8" i="3"/>
  <c r="D8" i="3" s="1"/>
  <c r="E8" i="3" s="1"/>
  <c r="C9" i="3"/>
  <c r="D9" i="3" s="1"/>
  <c r="E9" i="3" s="1"/>
  <c r="C10" i="3"/>
  <c r="D10" i="3" s="1"/>
  <c r="E10" i="3" s="1"/>
  <c r="H31" i="3"/>
  <c r="J20" i="3"/>
  <c r="K20" i="3" s="1"/>
  <c r="I3" i="3"/>
  <c r="J3" i="3" s="1"/>
  <c r="K3" i="3" s="1"/>
  <c r="I7" i="3"/>
  <c r="J7" i="3" s="1"/>
  <c r="K7" i="3" s="1"/>
  <c r="I8" i="3"/>
  <c r="J8" i="3" s="1"/>
  <c r="K8" i="3" s="1"/>
  <c r="I17" i="3"/>
  <c r="J17" i="3" s="1"/>
  <c r="K17" i="3" s="1"/>
  <c r="I30" i="3"/>
  <c r="J30" i="3" s="1"/>
  <c r="K30" i="3" s="1"/>
  <c r="I4" i="3"/>
  <c r="J4" i="3" s="1"/>
  <c r="K4" i="3" s="1"/>
  <c r="I5" i="3"/>
  <c r="J5" i="3" s="1"/>
  <c r="K5" i="3" s="1"/>
  <c r="I6" i="3"/>
  <c r="J6" i="3" s="1"/>
  <c r="K6" i="3" s="1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13" i="3"/>
  <c r="J13" i="3" s="1"/>
  <c r="K13" i="3" s="1"/>
  <c r="I14" i="3"/>
  <c r="J14" i="3" s="1"/>
  <c r="K14" i="3" s="1"/>
  <c r="I15" i="3"/>
  <c r="J15" i="3" s="1"/>
  <c r="K15" i="3" s="1"/>
  <c r="I16" i="3"/>
  <c r="J16" i="3" s="1"/>
  <c r="K16" i="3" s="1"/>
  <c r="I18" i="3"/>
  <c r="J18" i="3" s="1"/>
  <c r="K18" i="3" s="1"/>
  <c r="I19" i="3"/>
  <c r="J19" i="3" s="1"/>
  <c r="K19" i="3" s="1"/>
  <c r="I20" i="3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E47" i="6" l="1"/>
  <c r="D47" i="6"/>
  <c r="C47" i="6"/>
  <c r="E18" i="5"/>
  <c r="D18" i="5"/>
  <c r="J3" i="4"/>
  <c r="K31" i="3"/>
  <c r="E11" i="3"/>
  <c r="C17" i="3"/>
  <c r="J31" i="3"/>
  <c r="D17" i="3"/>
  <c r="I31" i="3"/>
  <c r="D11" i="3"/>
  <c r="C11" i="3"/>
  <c r="I11" i="5"/>
  <c r="J6" i="5"/>
  <c r="E23" i="3"/>
  <c r="E30" i="3" s="1"/>
  <c r="D30" i="3"/>
  <c r="C30" i="3"/>
  <c r="H21" i="2"/>
  <c r="J12" i="2"/>
  <c r="K12" i="2" s="1"/>
  <c r="J18" i="2"/>
  <c r="K18" i="2" s="1"/>
  <c r="I4" i="2"/>
  <c r="I5" i="2"/>
  <c r="J5" i="2" s="1"/>
  <c r="K5" i="2" s="1"/>
  <c r="I6" i="2"/>
  <c r="J6" i="2" s="1"/>
  <c r="K6" i="2" s="1"/>
  <c r="I9" i="2"/>
  <c r="J9" i="2" s="1"/>
  <c r="K9" i="2" s="1"/>
  <c r="I10" i="2"/>
  <c r="J10" i="2" s="1"/>
  <c r="K10" i="2" s="1"/>
  <c r="I11" i="2"/>
  <c r="J11" i="2" s="1"/>
  <c r="K11" i="2" s="1"/>
  <c r="I12" i="2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I19" i="2"/>
  <c r="J19" i="2" s="1"/>
  <c r="K19" i="2" s="1"/>
  <c r="I3" i="2"/>
  <c r="J3" i="2" s="1"/>
  <c r="K3" i="2" s="1"/>
  <c r="I7" i="2"/>
  <c r="J7" i="2" s="1"/>
  <c r="K7" i="2" s="1"/>
  <c r="I8" i="2"/>
  <c r="J8" i="2" s="1"/>
  <c r="K8" i="2" s="1"/>
  <c r="I20" i="2"/>
  <c r="J20" i="2" s="1"/>
  <c r="K20" i="2" s="1"/>
  <c r="C42" i="2"/>
  <c r="D42" i="2"/>
  <c r="E42" i="2"/>
  <c r="B42" i="2"/>
  <c r="C41" i="2"/>
  <c r="D41" i="2" s="1"/>
  <c r="E41" i="2" s="1"/>
  <c r="B36" i="2"/>
  <c r="D34" i="2"/>
  <c r="E34" i="2" s="1"/>
  <c r="D35" i="2"/>
  <c r="E35" i="2" s="1"/>
  <c r="C30" i="2"/>
  <c r="D30" i="2" s="1"/>
  <c r="E30" i="2" s="1"/>
  <c r="C32" i="2"/>
  <c r="D32" i="2" s="1"/>
  <c r="E32" i="2" s="1"/>
  <c r="C34" i="2"/>
  <c r="C35" i="2"/>
  <c r="C31" i="2"/>
  <c r="C33" i="2"/>
  <c r="D33" i="2" s="1"/>
  <c r="E33" i="2" s="1"/>
  <c r="B25" i="2"/>
  <c r="D9" i="2"/>
  <c r="E9" i="2" s="1"/>
  <c r="D15" i="2"/>
  <c r="E15" i="2" s="1"/>
  <c r="C3" i="2"/>
  <c r="D3" i="2" s="1"/>
  <c r="E3" i="2" s="1"/>
  <c r="C4" i="2"/>
  <c r="D4" i="2" s="1"/>
  <c r="E4" i="2" s="1"/>
  <c r="C5" i="2"/>
  <c r="C6" i="2"/>
  <c r="D6" i="2" s="1"/>
  <c r="E6" i="2" s="1"/>
  <c r="C9" i="2"/>
  <c r="C10" i="2"/>
  <c r="D10" i="2" s="1"/>
  <c r="E10" i="2" s="1"/>
  <c r="C11" i="2"/>
  <c r="D11" i="2" s="1"/>
  <c r="E11" i="2" s="1"/>
  <c r="C12" i="2"/>
  <c r="D12" i="2" s="1"/>
  <c r="E12" i="2" s="1"/>
  <c r="C13" i="2"/>
  <c r="D13" i="2" s="1"/>
  <c r="E13" i="2" s="1"/>
  <c r="C14" i="2"/>
  <c r="D14" i="2" s="1"/>
  <c r="E14" i="2" s="1"/>
  <c r="C15" i="2"/>
  <c r="C16" i="2"/>
  <c r="D16" i="2" s="1"/>
  <c r="E16" i="2" s="1"/>
  <c r="C17" i="2"/>
  <c r="D17" i="2" s="1"/>
  <c r="E17" i="2" s="1"/>
  <c r="C18" i="2"/>
  <c r="D18" i="2" s="1"/>
  <c r="E18" i="2" s="1"/>
  <c r="C19" i="2"/>
  <c r="D19" i="2" s="1"/>
  <c r="E19" i="2" s="1"/>
  <c r="C7" i="2"/>
  <c r="D7" i="2" s="1"/>
  <c r="E7" i="2" s="1"/>
  <c r="C8" i="2"/>
  <c r="D8" i="2" s="1"/>
  <c r="E8" i="2" s="1"/>
  <c r="C20" i="2"/>
  <c r="D20" i="2" s="1"/>
  <c r="E20" i="2" s="1"/>
  <c r="C21" i="2"/>
  <c r="D21" i="2" s="1"/>
  <c r="E21" i="2" s="1"/>
  <c r="C22" i="2"/>
  <c r="D22" i="2" s="1"/>
  <c r="E22" i="2" s="1"/>
  <c r="C23" i="2"/>
  <c r="D23" i="2" s="1"/>
  <c r="E23" i="2" s="1"/>
  <c r="C24" i="2"/>
  <c r="D24" i="2" s="1"/>
  <c r="E24" i="2" s="1"/>
  <c r="K3" i="4" l="1"/>
  <c r="K46" i="4" s="1"/>
  <c r="J46" i="4"/>
  <c r="I21" i="2"/>
  <c r="J4" i="2"/>
  <c r="C36" i="2"/>
  <c r="D5" i="2"/>
  <c r="D31" i="2"/>
  <c r="E31" i="2" s="1"/>
  <c r="E36" i="2"/>
  <c r="D36" i="2"/>
  <c r="C25" i="2"/>
  <c r="K6" i="5"/>
  <c r="K11" i="5" s="1"/>
  <c r="J11" i="5"/>
  <c r="J21" i="2" l="1"/>
  <c r="K4" i="2"/>
  <c r="K21" i="2" s="1"/>
  <c r="E5" i="2"/>
  <c r="D25" i="2"/>
  <c r="E25" i="2" l="1"/>
</calcChain>
</file>

<file path=xl/sharedStrings.xml><?xml version="1.0" encoding="utf-8"?>
<sst xmlns="http://schemas.openxmlformats.org/spreadsheetml/2006/main" count="3359" uniqueCount="323">
  <si>
    <t>Lab Space</t>
  </si>
  <si>
    <t>Office Space</t>
  </si>
  <si>
    <t>Room #</t>
  </si>
  <si>
    <t>Area(m2)</t>
  </si>
  <si>
    <t>Area(ft2)</t>
  </si>
  <si>
    <t>Max Occupancy</t>
  </si>
  <si>
    <t>Rounded</t>
  </si>
  <si>
    <t>126</t>
  </si>
  <si>
    <t>103B</t>
  </si>
  <si>
    <t>127</t>
  </si>
  <si>
    <t>112</t>
  </si>
  <si>
    <t>128</t>
  </si>
  <si>
    <t>113</t>
  </si>
  <si>
    <t>129</t>
  </si>
  <si>
    <t>121</t>
  </si>
  <si>
    <t>130B</t>
  </si>
  <si>
    <t>121A</t>
  </si>
  <si>
    <t>130C</t>
  </si>
  <si>
    <t>121B</t>
  </si>
  <si>
    <t>131</t>
  </si>
  <si>
    <t>124</t>
  </si>
  <si>
    <t>133</t>
  </si>
  <si>
    <t>135</t>
  </si>
  <si>
    <t>143</t>
  </si>
  <si>
    <t>136</t>
  </si>
  <si>
    <t>148</t>
  </si>
  <si>
    <t>137</t>
  </si>
  <si>
    <t>149</t>
  </si>
  <si>
    <t>138</t>
  </si>
  <si>
    <t>150</t>
  </si>
  <si>
    <t>141</t>
  </si>
  <si>
    <t>151</t>
  </si>
  <si>
    <t>142</t>
  </si>
  <si>
    <t>153</t>
  </si>
  <si>
    <t>144</t>
  </si>
  <si>
    <t>154</t>
  </si>
  <si>
    <t>145</t>
  </si>
  <si>
    <t>156</t>
  </si>
  <si>
    <t>146</t>
  </si>
  <si>
    <t>158</t>
  </si>
  <si>
    <t>147</t>
  </si>
  <si>
    <t>161B</t>
  </si>
  <si>
    <t>161A</t>
  </si>
  <si>
    <t>161C-1</t>
  </si>
  <si>
    <t>Total</t>
  </si>
  <si>
    <t>161C-2</t>
  </si>
  <si>
    <t>161C-3</t>
  </si>
  <si>
    <t>161D</t>
  </si>
  <si>
    <t>Total Approved</t>
  </si>
  <si>
    <t>Lab Support Space</t>
  </si>
  <si>
    <t>102</t>
  </si>
  <si>
    <t>102A</t>
  </si>
  <si>
    <t>103</t>
  </si>
  <si>
    <t>103A</t>
  </si>
  <si>
    <t>125</t>
  </si>
  <si>
    <t>160</t>
  </si>
  <si>
    <t>Teaching Lab Support</t>
  </si>
  <si>
    <t>104</t>
  </si>
  <si>
    <t>251</t>
  </si>
  <si>
    <t>201</t>
  </si>
  <si>
    <t>252</t>
  </si>
  <si>
    <t>201A</t>
  </si>
  <si>
    <t>253</t>
  </si>
  <si>
    <t>202F</t>
  </si>
  <si>
    <t>255</t>
  </si>
  <si>
    <t>203A</t>
  </si>
  <si>
    <t>256</t>
  </si>
  <si>
    <t>204</t>
  </si>
  <si>
    <t>258</t>
  </si>
  <si>
    <t>205</t>
  </si>
  <si>
    <t>259</t>
  </si>
  <si>
    <t>205A</t>
  </si>
  <si>
    <t>261B</t>
  </si>
  <si>
    <t>205B</t>
  </si>
  <si>
    <t>205C</t>
  </si>
  <si>
    <t>205D</t>
  </si>
  <si>
    <t>205E</t>
  </si>
  <si>
    <t>205F</t>
  </si>
  <si>
    <t>205G</t>
  </si>
  <si>
    <t>260</t>
  </si>
  <si>
    <t>205H</t>
  </si>
  <si>
    <t>206</t>
  </si>
  <si>
    <t>206A</t>
  </si>
  <si>
    <t>207A</t>
  </si>
  <si>
    <t>Classroom Service Space</t>
  </si>
  <si>
    <t>207D</t>
  </si>
  <si>
    <t>208A</t>
  </si>
  <si>
    <t>202</t>
  </si>
  <si>
    <t>208B</t>
  </si>
  <si>
    <t>202A</t>
  </si>
  <si>
    <t>208C</t>
  </si>
  <si>
    <t>202B</t>
  </si>
  <si>
    <t>208D</t>
  </si>
  <si>
    <t>202D</t>
  </si>
  <si>
    <t>208E</t>
  </si>
  <si>
    <t>202E</t>
  </si>
  <si>
    <t>208F</t>
  </si>
  <si>
    <t>202G</t>
  </si>
  <si>
    <t>208G</t>
  </si>
  <si>
    <t>202H</t>
  </si>
  <si>
    <t>208H</t>
  </si>
  <si>
    <t>202K</t>
  </si>
  <si>
    <t>208J</t>
  </si>
  <si>
    <t>254</t>
  </si>
  <si>
    <t>363</t>
  </si>
  <si>
    <t>302A</t>
  </si>
  <si>
    <t>302B</t>
  </si>
  <si>
    <t>302C</t>
  </si>
  <si>
    <t>304A</t>
  </si>
  <si>
    <t>304B</t>
  </si>
  <si>
    <t>304C</t>
  </si>
  <si>
    <t>360</t>
  </si>
  <si>
    <t>304D</t>
  </si>
  <si>
    <t>360A</t>
  </si>
  <si>
    <t>304E</t>
  </si>
  <si>
    <t>304F</t>
  </si>
  <si>
    <t>304G</t>
  </si>
  <si>
    <t>304H</t>
  </si>
  <si>
    <t>Exhibition Facilities</t>
  </si>
  <si>
    <t>304I</t>
  </si>
  <si>
    <t>304J</t>
  </si>
  <si>
    <t>302</t>
  </si>
  <si>
    <t>308A</t>
  </si>
  <si>
    <t>324</t>
  </si>
  <si>
    <t>308B</t>
  </si>
  <si>
    <t>308C</t>
  </si>
  <si>
    <t>308D</t>
  </si>
  <si>
    <t>308E</t>
  </si>
  <si>
    <t>308F</t>
  </si>
  <si>
    <t>308G</t>
  </si>
  <si>
    <t>308H</t>
  </si>
  <si>
    <t>308J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</si>
  <si>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</si>
  <si>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</si>
  <si>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</si>
  <si>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</si>
  <si>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</si>
  <si>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</si>
  <si>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</si>
  <si>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</si>
  <si>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</si>
  <si>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</si>
  <si>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</si>
  <si>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363A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</si>
  <si>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</si>
  <si>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</si>
  <si>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</si>
  <si>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</si>
  <si>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</si>
  <si>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</si>
  <si>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</si>
  <si>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</si>
  <si>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</si>
  <si>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Teaching Lab and Support Space</t>
  </si>
  <si>
    <t>400</t>
  </si>
  <si>
    <t>401B</t>
  </si>
  <si>
    <t>400A</t>
  </si>
  <si>
    <t>408</t>
  </si>
  <si>
    <t>400B</t>
  </si>
  <si>
    <t>408A</t>
  </si>
  <si>
    <t>400C</t>
  </si>
  <si>
    <t>412</t>
  </si>
  <si>
    <t>402</t>
  </si>
  <si>
    <t>412B</t>
  </si>
  <si>
    <t>403</t>
  </si>
  <si>
    <t>412C</t>
  </si>
  <si>
    <t>404</t>
  </si>
  <si>
    <t>412D</t>
  </si>
  <si>
    <t>404A</t>
  </si>
  <si>
    <t>414A</t>
  </si>
  <si>
    <t>405</t>
  </si>
  <si>
    <t>406</t>
  </si>
  <si>
    <t>407</t>
  </si>
  <si>
    <t>409</t>
  </si>
  <si>
    <t>412A</t>
  </si>
  <si>
    <t>414</t>
  </si>
  <si>
    <t>432</t>
  </si>
  <si>
    <t>Classroom</t>
  </si>
  <si>
    <t>401</t>
  </si>
  <si>
    <t>410</t>
  </si>
  <si>
    <t>500A</t>
  </si>
  <si>
    <t>502B</t>
  </si>
  <si>
    <t>511A</t>
  </si>
  <si>
    <t>511B</t>
  </si>
  <si>
    <t>511C</t>
  </si>
  <si>
    <t>511D</t>
  </si>
  <si>
    <t>511G</t>
  </si>
  <si>
    <t>500B</t>
  </si>
  <si>
    <t>511H</t>
  </si>
  <si>
    <t>500C</t>
  </si>
  <si>
    <t>502</t>
  </si>
  <si>
    <t>502A</t>
  </si>
  <si>
    <t>502C</t>
  </si>
  <si>
    <t>503</t>
  </si>
  <si>
    <t>503A</t>
  </si>
  <si>
    <t>501</t>
  </si>
  <si>
    <t>504</t>
  </si>
  <si>
    <t>504A</t>
  </si>
  <si>
    <t>504B</t>
  </si>
  <si>
    <t>504C</t>
  </si>
  <si>
    <t>505</t>
  </si>
  <si>
    <t>505A</t>
  </si>
  <si>
    <t>506</t>
  </si>
  <si>
    <t>506A</t>
  </si>
  <si>
    <t>506B</t>
  </si>
  <si>
    <t>506C</t>
  </si>
  <si>
    <t>506D</t>
  </si>
  <si>
    <t>506E</t>
  </si>
  <si>
    <t>507</t>
  </si>
  <si>
    <t>507A</t>
  </si>
  <si>
    <t>507B</t>
  </si>
  <si>
    <t>508</t>
  </si>
  <si>
    <t>508A</t>
  </si>
  <si>
    <t>508B</t>
  </si>
  <si>
    <t>508C</t>
  </si>
  <si>
    <t>508D</t>
  </si>
  <si>
    <t>509</t>
  </si>
  <si>
    <t>510</t>
  </si>
  <si>
    <t>512</t>
  </si>
  <si>
    <t>512A</t>
  </si>
  <si>
    <t>512B</t>
  </si>
  <si>
    <t>513</t>
  </si>
  <si>
    <t>513A</t>
  </si>
  <si>
    <t>513B</t>
  </si>
  <si>
    <t>514</t>
  </si>
  <si>
    <t>514A</t>
  </si>
  <si>
    <t>514B</t>
  </si>
  <si>
    <t>Division Name</t>
  </si>
  <si>
    <t>Division Code</t>
  </si>
  <si>
    <t>Department Name</t>
  </si>
  <si>
    <t>Include/Exclude</t>
  </si>
  <si>
    <t>ACAD/Support</t>
  </si>
  <si>
    <t>Building Code</t>
  </si>
  <si>
    <t>Alternate Building ID</t>
  </si>
  <si>
    <t>Building Rent</t>
  </si>
  <si>
    <t>Floor Code</t>
  </si>
  <si>
    <t>Room Code</t>
  </si>
  <si>
    <t>Allocated Room Area m²</t>
  </si>
  <si>
    <t>Percentage of Space</t>
  </si>
  <si>
    <t>Room Type</t>
  </si>
  <si>
    <t>Room Type Description</t>
  </si>
  <si>
    <t>Room Standard</t>
  </si>
  <si>
    <t>Room Standard Standard</t>
  </si>
  <si>
    <t>Arts &amp; Science</t>
  </si>
  <si>
    <t>110</t>
  </si>
  <si>
    <t>Physics</t>
  </si>
  <si>
    <t>Y</t>
  </si>
  <si>
    <t>A</t>
  </si>
  <si>
    <t>CHERNF</t>
  </si>
  <si>
    <t>184</t>
  </si>
  <si>
    <t>01</t>
  </si>
  <si>
    <t>04.5</t>
  </si>
  <si>
    <t>Office Support Space</t>
  </si>
  <si>
    <t>04.2RESEAR</t>
  </si>
  <si>
    <t>Acad Research Offices</t>
  </si>
  <si>
    <t>03.2SERV</t>
  </si>
  <si>
    <t>Lab Service Space</t>
  </si>
  <si>
    <t>ELLIS</t>
  </si>
  <si>
    <t>04</t>
  </si>
  <si>
    <t>2.3</t>
  </si>
  <si>
    <t>02.3SERVIC</t>
  </si>
  <si>
    <t>Labs Teaching - Service</t>
  </si>
  <si>
    <t>STIRLG</t>
  </si>
  <si>
    <t>3.2</t>
  </si>
  <si>
    <t>Research Lab Support</t>
  </si>
  <si>
    <t>03.2SPEC</t>
  </si>
  <si>
    <t>Special Condition Rooms</t>
  </si>
  <si>
    <t>03.2MACHIN</t>
  </si>
  <si>
    <t>Research Machine Shops</t>
  </si>
  <si>
    <t>04.3</t>
  </si>
  <si>
    <t>Graduate Student Offices</t>
  </si>
  <si>
    <t>04.3GRAD</t>
  </si>
  <si>
    <t>Graduate Student Office</t>
  </si>
  <si>
    <t>3.1</t>
  </si>
  <si>
    <t>Research Lab Space</t>
  </si>
  <si>
    <t>03.1LAB</t>
  </si>
  <si>
    <t>Research Lab</t>
  </si>
  <si>
    <t>04.1</t>
  </si>
  <si>
    <t>Faculty Office</t>
  </si>
  <si>
    <t>04.1EMERIT</t>
  </si>
  <si>
    <t>Emeritus</t>
  </si>
  <si>
    <t>04.2</t>
  </si>
  <si>
    <t>Research Offices/Project Space</t>
  </si>
  <si>
    <t>04.2PDOCS</t>
  </si>
  <si>
    <t>Post Doctoral Fellows</t>
  </si>
  <si>
    <t>04.4</t>
  </si>
  <si>
    <t>Departmental Support Staff Offices</t>
  </si>
  <si>
    <t>04.4TECH</t>
  </si>
  <si>
    <t>Technician Office</t>
  </si>
  <si>
    <t>Research Engineers/technicians</t>
  </si>
  <si>
    <t>02</t>
  </si>
  <si>
    <t>04.5CONF</t>
  </si>
  <si>
    <t>Conference Room</t>
  </si>
  <si>
    <t>01.4</t>
  </si>
  <si>
    <t>01.4SERV</t>
  </si>
  <si>
    <t>Classroom - Service Space</t>
  </si>
  <si>
    <t>04.4STAFF</t>
  </si>
  <si>
    <t>Support Staff Office</t>
  </si>
  <si>
    <t>03</t>
  </si>
  <si>
    <t>15.2</t>
  </si>
  <si>
    <t>0000</t>
  </si>
  <si>
    <t>TBA</t>
  </si>
  <si>
    <t>15.2EXHIBI</t>
  </si>
  <si>
    <t>Exhibition Space</t>
  </si>
  <si>
    <t>04.5UNCLAS</t>
  </si>
  <si>
    <t>Unclassified Support</t>
  </si>
  <si>
    <t>04.1FAC</t>
  </si>
  <si>
    <t>01.2</t>
  </si>
  <si>
    <t>02.1DRY</t>
  </si>
  <si>
    <t>Labs Teaching - Dry</t>
  </si>
  <si>
    <t>2.1</t>
  </si>
  <si>
    <t>Scheduled Teaching Lab</t>
  </si>
  <si>
    <t>05</t>
  </si>
  <si>
    <t>01.2SEMIN</t>
  </si>
  <si>
    <t>Classroom - Seminar</t>
  </si>
  <si>
    <t>124A</t>
  </si>
  <si>
    <t>04.5STORE</t>
  </si>
  <si>
    <t>Storage Rooms</t>
  </si>
  <si>
    <t>04.5LOUNGE</t>
  </si>
  <si>
    <t>Dept Lounge</t>
  </si>
  <si>
    <t>261A</t>
  </si>
  <si>
    <t>02.1COMPUT</t>
  </si>
  <si>
    <t>Computer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</si>
</sst>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8E4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6">
    <xf numFmtId="0" fontId="0" fillId="0" borderId="0" xfId="0"/>
    <xf numFmtId="49" fontId="4" fillId="0" borderId="2" xfId="0" applyNumberFormat="1" applyFont="1" applyBorder="1" applyAlignment="1" applyProtection="1">
      <alignment wrapText="1"/>
      <protection locked="0"/>
    </xf>
    <xf numFmtId="4" fontId="4" fillId="4" borderId="2" xfId="0" applyNumberFormat="1" applyFont="1" applyFill="1" applyBorder="1" applyAlignment="1">
      <alignment horizontal="right"/>
    </xf>
    <xf numFmtId="49" fontId="4" fillId="5" borderId="2" xfId="0" applyNumberFormat="1" applyFont="1" applyFill="1" applyBorder="1" applyAlignment="1" applyProtection="1">
      <alignment wrapText="1"/>
      <protection locked="0"/>
    </xf>
    <xf numFmtId="4" fontId="4" fillId="5" borderId="2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 applyProtection="1">
      <alignment wrapText="1"/>
      <protection locked="0"/>
    </xf>
    <xf numFmtId="49" fontId="4" fillId="0" borderId="3" xfId="0" applyNumberFormat="1" applyFont="1" applyBorder="1" applyAlignment="1" applyProtection="1">
      <alignment wrapText="1"/>
      <protection locked="0"/>
    </xf>
    <xf numFmtId="49" fontId="4" fillId="5" borderId="3" xfId="0" applyNumberFormat="1" applyFont="1" applyFill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49" fontId="5" fillId="5" borderId="4" xfId="0" applyNumberFormat="1" applyFont="1" applyFill="1" applyBorder="1" applyAlignment="1" applyProtection="1">
      <alignment wrapText="1"/>
      <protection locked="0"/>
    </xf>
    <xf numFmtId="49" fontId="4" fillId="5" borderId="4" xfId="0" applyNumberFormat="1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49" fontId="4" fillId="0" borderId="9" xfId="0" applyNumberFormat="1" applyFont="1" applyBorder="1" applyAlignment="1" applyProtection="1">
      <alignment wrapText="1"/>
      <protection locked="0"/>
    </xf>
    <xf numFmtId="4" fontId="4" fillId="4" borderId="9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 applyProtection="1">
      <alignment wrapText="1"/>
      <protection locked="0"/>
    </xf>
    <xf numFmtId="49" fontId="1" fillId="2" borderId="1" xfId="1" applyNumberFormat="1" applyAlignment="1">
      <alignment wrapText="1"/>
    </xf>
    <xf numFmtId="4" fontId="1" fillId="2" borderId="1" xfId="1" applyNumberFormat="1" applyAlignment="1">
      <alignment horizontal="right"/>
    </xf>
    <xf numFmtId="0" fontId="0" fillId="0" borderId="0" xfId="0" applyFont="1"/>
    <xf numFmtId="49" fontId="6" fillId="0" borderId="2" xfId="0" applyNumberFormat="1" applyFont="1" applyBorder="1" applyAlignment="1">
      <alignment wrapText="1"/>
    </xf>
    <xf numFmtId="4" fontId="6" fillId="4" borderId="2" xfId="0" applyNumberFormat="1" applyFont="1" applyFill="1" applyBorder="1" applyAlignment="1">
      <alignment horizontal="right"/>
    </xf>
    <xf numFmtId="0" fontId="2" fillId="6" borderId="11" xfId="0" applyFont="1" applyFill="1" applyBorder="1"/>
    <xf numFmtId="0" fontId="2" fillId="6" borderId="0" xfId="0" applyFont="1" applyFill="1" applyBorder="1"/>
    <xf numFmtId="0" fontId="2" fillId="6" borderId="12" xfId="0" applyFont="1" applyFill="1" applyBorder="1"/>
    <xf numFmtId="49" fontId="6" fillId="7" borderId="2" xfId="0" applyNumberFormat="1" applyFont="1" applyFill="1" applyBorder="1" applyAlignment="1">
      <alignment wrapText="1"/>
    </xf>
    <xf numFmtId="4" fontId="6" fillId="7" borderId="2" xfId="0" applyNumberFormat="1" applyFont="1" applyFill="1" applyBorder="1" applyAlignment="1">
      <alignment horizontal="right"/>
    </xf>
    <xf numFmtId="0" fontId="1" fillId="2" borderId="1" xfId="1"/>
    <xf numFmtId="49" fontId="6" fillId="8" borderId="2" xfId="0" applyNumberFormat="1" applyFont="1" applyFill="1" applyBorder="1" applyAlignment="1">
      <alignment wrapText="1"/>
    </xf>
    <xf numFmtId="4" fontId="6" fillId="8" borderId="2" xfId="0" applyNumberFormat="1" applyFont="1" applyFill="1" applyBorder="1" applyAlignment="1">
      <alignment horizontal="right"/>
    </xf>
    <xf numFmtId="0" fontId="0" fillId="8" borderId="0" xfId="0" applyFill="1"/>
    <xf numFmtId="49" fontId="6" fillId="9" borderId="2" xfId="0" applyNumberFormat="1" applyFont="1" applyFill="1" applyBorder="1" applyAlignment="1">
      <alignment wrapText="1"/>
    </xf>
    <xf numFmtId="4" fontId="6" fillId="9" borderId="2" xfId="0" applyNumberFormat="1" applyFont="1" applyFill="1" applyBorder="1" applyAlignment="1">
      <alignment horizontal="right"/>
    </xf>
    <xf numFmtId="0" fontId="0" fillId="9" borderId="0" xfId="0" applyFill="1"/>
    <xf numFmtId="4" fontId="6" fillId="0" borderId="2" xfId="0" applyNumberFormat="1" applyFont="1" applyFill="1" applyBorder="1" applyAlignment="1">
      <alignment horizontal="right"/>
    </xf>
  </cellXfs>
  <cellStyles count="2">
    <cellStyle name="Calculation" xfId="1" builtinId="22"/>
    <cellStyle name="Normal" xfId="0" builtinId="0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D8E4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22CCBE-D32F-4618-88E6-F01907DC814F}" name="Table2" displayName="Table2" ref="A2:E26" totalsRowShown="0">
  <autoFilter ref="A2:E26" xr:uid="{C75D6FA5-BDAC-4DF0-9A6C-C9E50CC51C47}"/>
  <sortState xmlns:xlrd2="http://schemas.microsoft.com/office/spreadsheetml/2017/richdata2" ref="A3:E25">
    <sortCondition ref="A2:A25"/>
  </sortState>
  <tableColumns count="5">
    <tableColumn id="1" xr3:uid="{EA131AEE-DFF8-4718-9FC7-0DEBB85F01F3}" name="Room #" dataDxfId="94"/>
    <tableColumn id="2" xr3:uid="{9D7CBB9C-96E2-4780-AA04-99BB0B71862D}" name="Area(m2)" dataDxfId="93"/>
    <tableColumn id="3" xr3:uid="{054DE67A-E57C-40E8-B887-B2478CBAA312}" name="Area(ft2)" dataDxfId="92">
      <calculatedColumnFormula>Table2[[#This Row],[Area(m2)]]*10.7639</calculatedColumnFormula>
    </tableColumn>
    <tableColumn id="4" xr3:uid="{0C57895E-F5C2-4F9E-B7AF-F70DA0ACA8CF}" name="Max Occupancy" dataDxfId="91">
      <calculatedColumnFormula>Table2[[#This Row],[Area(ft2)]]*5/1000</calculatedColumnFormula>
    </tableColumn>
    <tableColumn id="5" xr3:uid="{0DDC8268-0E8F-4F81-8B17-7D562615BE9D}" name="Rounded" dataDxfId="90">
      <calculatedColumnFormula>IF(Table2[[#This Row],[Max Occupancy]]&lt;1,ROUNDUP(Table2[[#This Row],[Max Occupancy]],0),ROUNDDOWN(Table2[[#This Row],[Max Occupancy]],0))</calculatedColumnFormula>
    </tableColumn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E7749A5-2373-4ACF-A276-9B19BAE8EF25}" name="Table11" displayName="Table11" ref="A8:E11" totalsRowShown="0" headerRowDxfId="57" tableBorderDxfId="56">
  <autoFilter ref="A8:E11" xr:uid="{1EE9C5EB-0B17-4F01-B5C1-81C82CBBD4F7}"/>
  <tableColumns count="5">
    <tableColumn id="1" xr3:uid="{97CD6CDA-C54E-45B7-A47A-63AB452EC075}" name="Room #"/>
    <tableColumn id="2" xr3:uid="{F8A195A9-6A7D-4DB4-B14F-41D31B54BD74}" name="Area(m2)"/>
    <tableColumn id="3" xr3:uid="{C41F215B-AAEB-4EFF-A1DC-D524EBAA35D0}" name="Area(ft2)" dataDxfId="55">
      <calculatedColumnFormula>Table11[[#This Row],[Area(m2)]]*10.7639</calculatedColumnFormula>
    </tableColumn>
    <tableColumn id="4" xr3:uid="{8E60674E-19E8-4784-B056-120B9B23066D}" name="Max Occupancy" dataDxfId="54">
      <calculatedColumnFormula>Table11[[#This Row],[Area(ft2)]]*5/1000</calculatedColumnFormula>
    </tableColumn>
    <tableColumn id="5" xr3:uid="{B5833B34-FE60-4D5E-973F-DC755BD48BBD}" name="Rounded" dataDxfId="53">
      <calculatedColumnFormula>IF(Table11[[#This Row],[Max Occupancy]]&lt;1,ROUNDUP(Table11[[#This Row],[Max Occupancy]],0),ROUNDDOWN(Table11[[#This Row],[Max Occupancy]],0))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2872085-219C-4A05-A3CC-C60EF465DE30}" name="Table12" displayName="Table12" ref="G2:K46" totalsRowShown="0" headerRowDxfId="52">
  <autoFilter ref="G2:K46" xr:uid="{2586DF5B-C19C-45D5-AEBB-8F5EF22795E3}"/>
  <sortState xmlns:xlrd2="http://schemas.microsoft.com/office/spreadsheetml/2017/richdata2" ref="G3:K46">
    <sortCondition ref="G2:G46"/>
  </sortState>
  <tableColumns count="5">
    <tableColumn id="1" xr3:uid="{B2766D24-FBA9-499F-864D-11CA77153479}" name="Room #"/>
    <tableColumn id="2" xr3:uid="{2BF7D14F-8BAA-4D76-B88A-0F680ED2352E}" name="Area(m2)"/>
    <tableColumn id="3" xr3:uid="{44422496-EA92-44F9-B536-CEB87C84E814}" name="Area(ft2)" dataDxfId="51">
      <calculatedColumnFormula>Table12[[#This Row],[Area(m2)]]*10.7639</calculatedColumnFormula>
    </tableColumn>
    <tableColumn id="4" xr3:uid="{4C9BBFF3-FC05-420D-B031-95F57D4A21A7}" name="Max Occupancy" dataDxfId="50">
      <calculatedColumnFormula>Table12[[#This Row],[Area(ft2)]]*5/1000</calculatedColumnFormula>
    </tableColumn>
    <tableColumn id="5" xr3:uid="{E4ED4ED7-D428-4521-A3CD-CE30E09B0C9B}" name="Rounded" dataDxfId="49">
      <calculatedColumnFormula>IF(Table12[[#This Row],[Max Occupancy]]&lt;1,ROUNDUP(Table12[[#This Row],[Max Occupancy]],0),ROUNDDOWN(Table12[[#This Row],[Max Occupancy]],0))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56EDC70-869B-4BFD-BB73-16FE60954325}" name="Table13" displayName="Table13" ref="A15:E18" totalsRowShown="0" headerRowDxfId="48" tableBorderDxfId="47">
  <autoFilter ref="A15:E18" xr:uid="{1F550333-EF61-4790-B819-F95D8E4333C1}"/>
  <tableColumns count="5">
    <tableColumn id="1" xr3:uid="{21E9E5A1-A589-45BF-BB1F-00AEB4C2251B}" name="Room #"/>
    <tableColumn id="2" xr3:uid="{86703441-6DB2-45DA-8486-A6A09ADBED36}" name="Area(m2)"/>
    <tableColumn id="3" xr3:uid="{BF2A9926-09CD-4B04-865C-DFDA1C6B3B2E}" name="Area(ft2)" dataDxfId="46">
      <calculatedColumnFormula>Table13[[#This Row],[Area(m2)]]*10.7639</calculatedColumnFormula>
    </tableColumn>
    <tableColumn id="4" xr3:uid="{B3606DEA-8B2F-4A64-9942-346C90778E91}" name="Max Occupancy" dataDxfId="45">
      <calculatedColumnFormula>Table13[[#This Row],[Area(ft2)]]*5/1000</calculatedColumnFormula>
    </tableColumn>
    <tableColumn id="5" xr3:uid="{174E408F-A74D-4689-9FA6-275BCFE84F97}" name="Rounded" dataDxfId="44">
      <calculatedColumnFormula>IF(Table13[[#This Row],[Max Occupancy]]&lt;1,ROUNDUP(Table13[[#This Row],[Max Occupancy]],0),ROUNDDOWN(Table13[[#This Row],[Max Occupancy]],0))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5521BB6-F112-4E53-9FBC-76C13884E8FB}" name="Table14" displayName="Table14" ref="G2:K11" totalsRowShown="0" headerRowDxfId="43">
  <autoFilter ref="G2:K11" xr:uid="{C278A8AF-B421-4304-91E7-6F9F1B062645}"/>
  <sortState xmlns:xlrd2="http://schemas.microsoft.com/office/spreadsheetml/2017/richdata2" ref="G3:K11">
    <sortCondition ref="G2:G11"/>
  </sortState>
  <tableColumns count="5">
    <tableColumn id="1" xr3:uid="{6C1EC6EF-AC80-45EB-BFDF-A48AF227DCC8}" name="Room #"/>
    <tableColumn id="2" xr3:uid="{DCCF1A24-2817-4340-85B6-E7BE59890A0A}" name="Area(m2)"/>
    <tableColumn id="3" xr3:uid="{BFD86235-6531-4C92-90FA-A35A7C0104FB}" name="Area(ft2)" dataDxfId="42">
      <calculatedColumnFormula>Table14[[#This Row],[Area(m2)]]*10.7639</calculatedColumnFormula>
    </tableColumn>
    <tableColumn id="4" xr3:uid="{06601433-6069-4D6F-83F3-675105AC41AE}" name="Max Occupancy" dataDxfId="41">
      <calculatedColumnFormula>Table14[[#This Row],[Area(ft2)]]*5/1000</calculatedColumnFormula>
    </tableColumn>
    <tableColumn id="5" xr3:uid="{07E68BA7-F0AD-4C2B-95FC-EF745C470BB8}" name="Rounded" dataDxfId="40">
      <calculatedColumnFormula>IF(Table14[[#This Row],[Max Occupancy]]&lt;1,ROUNDUP(Table14[[#This Row],[Max Occupancy]],0),ROUNDDOWN(Table14[[#This Row],[Max Occupancy]],0))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F3D9E53-C90A-47B7-8001-E8DE959B5927}" name="Table15" displayName="Table15" ref="A2:E18" totalsRowShown="0">
  <autoFilter ref="A2:E18" xr:uid="{D71A64DF-8734-4286-AFBB-DC3F75E801D1}"/>
  <sortState xmlns:xlrd2="http://schemas.microsoft.com/office/spreadsheetml/2017/richdata2" ref="A3:E18">
    <sortCondition ref="A2:A18"/>
  </sortState>
  <tableColumns count="5">
    <tableColumn id="1" xr3:uid="{3D8D9C37-3471-47A1-9CF6-8766C38B06F6}" name="Room #"/>
    <tableColumn id="2" xr3:uid="{707B570B-766A-4039-B989-AF30122523F0}" name="Area(m2)"/>
    <tableColumn id="3" xr3:uid="{D04F15B5-B4EB-4032-AEBB-1E7D7B69CD2B}" name="Area(ft2)" dataDxfId="39">
      <calculatedColumnFormula>Table15[[#This Row],[Area(m2)]]*10.7639</calculatedColumnFormula>
    </tableColumn>
    <tableColumn id="4" xr3:uid="{A667A16A-F945-4A1E-B403-7ECDCFB5E2FF}" name="Max Occupancy" dataDxfId="38">
      <calculatedColumnFormula>Table15[[#This Row],[Area(ft2)]]*5/1000</calculatedColumnFormula>
    </tableColumn>
    <tableColumn id="5" xr3:uid="{2D682229-91D9-4B76-B797-E9500DB1036D}" name="Rounded" dataDxfId="37">
      <calculatedColumnFormula>IF(Table15[[#This Row],[Max Occupancy]]&lt;1,ROUNDUP(Table15[[#This Row],[Max Occupancy]],0),ROUNDDOWN(Table15[[#This Row],[Max Occupancy]],0))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874ECFC-EAE5-4E21-9165-EE576CF7A033}" name="Table16" displayName="Table16" ref="A22:E25" totalsRowShown="0" headerRowDxfId="36" tableBorderDxfId="35">
  <autoFilter ref="A22:E25" xr:uid="{373CC230-BBF0-43B4-8162-4AB42C3458CB}"/>
  <tableColumns count="5">
    <tableColumn id="1" xr3:uid="{A4E63F19-1FE1-4BC1-9C96-6E8C9A4C9164}" name="Room #"/>
    <tableColumn id="2" xr3:uid="{610DEC1B-80D2-46D1-956F-AE57659E9B7C}" name="Area(m2)"/>
    <tableColumn id="3" xr3:uid="{706EA5C1-297D-4E55-A938-B719B6E43981}" name="Area(ft2)" dataDxfId="34">
      <calculatedColumnFormula>Table16[[#This Row],[Area(m2)]]*10.7639</calculatedColumnFormula>
    </tableColumn>
    <tableColumn id="4" xr3:uid="{C55DE64F-B485-4311-9FBD-2B335C96183F}" name="Max Occupancy" dataDxfId="33">
      <calculatedColumnFormula>Table16[[#This Row],[Area(ft2)]]*5/1000</calculatedColumnFormula>
    </tableColumn>
    <tableColumn id="5" xr3:uid="{4B8D66B9-8315-415D-9A9B-6CB93BA7896B}" name="Rounded" dataDxfId="32">
      <calculatedColumnFormula>IF(Table16[[#This Row],[Max Occupancy]]&lt;1,ROUNDUP(Table16[[#This Row],[Max Occupancy]],0),ROUNDDOWN(Table16[[#This Row],[Max Occupancy]],0))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F9FC56-41BF-4B96-807C-99F572A85ABF}" name="Table17" displayName="Table17" ref="A2:E4" totalsRowShown="0">
  <autoFilter ref="A2:E4" xr:uid="{3F2F99F5-EEB1-4977-9F73-06638986041E}"/>
  <tableColumns count="5">
    <tableColumn id="1" xr3:uid="{AA2BF27D-BF4D-42B3-B61D-00F314DCAD9F}" name="Room #"/>
    <tableColumn id="2" xr3:uid="{0335BAC5-9754-4E47-A723-219D54146833}" name="Area(m2)"/>
    <tableColumn id="3" xr3:uid="{8B18C49E-AD35-44E0-99EE-A0D7A32FA174}" name="Area(ft2)">
      <calculatedColumnFormula>Table17[[#This Row],[Area(m2)]]*10.7639</calculatedColumnFormula>
    </tableColumn>
    <tableColumn id="4" xr3:uid="{437F6996-2B82-4FCB-819F-750E2164F774}" name="Max Occupancy">
      <calculatedColumnFormula>Table17[[#This Row],[Area(ft2)]]*5/1000</calculatedColumnFormula>
    </tableColumn>
    <tableColumn id="5" xr3:uid="{3EBFDC68-E74D-4A13-84AC-4E6B1DD61361}" name="Rounded">
      <calculatedColumnFormula>IF(Table17[[#This Row],[Max Occupancy]]&lt;1,ROUNDUP(Table17[[#This Row],[Max Occupancy]],0),ROUNDDOWN(Table17[[#This Row],[Max Occupancy]],0))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6791257-D118-443A-9510-7704A926EA9A}" name="Table18" displayName="Table18" ref="A8:E47" totalsRowShown="0" headerRowDxfId="31" tableBorderDxfId="30">
  <autoFilter ref="A8:E47" xr:uid="{0E190BC2-1A3E-4872-B184-D6B38C18274F}"/>
  <sortState xmlns:xlrd2="http://schemas.microsoft.com/office/spreadsheetml/2017/richdata2" ref="A9:E47">
    <sortCondition ref="A8:A47"/>
  </sortState>
  <tableColumns count="5">
    <tableColumn id="1" xr3:uid="{3CC5DAAF-EB5D-4AFE-83E9-6052F378E2A4}" name="Room #"/>
    <tableColumn id="2" xr3:uid="{169FA95C-4E6E-4228-B087-389B9047BD5A}" name="Area(m2)"/>
    <tableColumn id="3" xr3:uid="{EF9B27DA-CBAB-4E3E-9FFD-FBB256DC7987}" name="Area(ft2)" dataDxfId="29">
      <calculatedColumnFormula>Table18[[#This Row],[Area(m2)]]*10.7639</calculatedColumnFormula>
    </tableColumn>
    <tableColumn id="4" xr3:uid="{0EF73848-BC07-49B3-9F1A-A13BCD06A5AE}" name="Max Occupancy" dataDxfId="28">
      <calculatedColumnFormula>Table18[[#This Row],[Area(ft2)]]*5/1000</calculatedColumnFormula>
    </tableColumn>
    <tableColumn id="5" xr3:uid="{B1F77E69-004E-4CF9-B258-E030CDDC488B}" name="Rounded" dataDxfId="27">
      <calculatedColumnFormula>IF(Table18[[#This Row],[Max Occupancy]]&lt;1,ROUNDUP(Table18[[#This Row],[Max Occupancy]],0),ROUNDDOWN(Table18[[#This Row],[Max Occupancy]],0))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42295A3-FBC7-47CF-8F2E-2EAF12865672}" name="Table19" displayName="Table19" ref="G2:K10" totalsRowShown="0" headerRowDxfId="26">
  <autoFilter ref="G2:K10" xr:uid="{2DE989D4-9CF4-4E4E-B711-CE923901D7A4}"/>
  <tableColumns count="5">
    <tableColumn id="1" xr3:uid="{D9EB6A85-3CA6-46D0-B36F-B26FE69BB294}" name="Room #"/>
    <tableColumn id="2" xr3:uid="{70832CE2-0ECB-42B0-917D-829D8D98D1B4}" name="Area(m2)"/>
    <tableColumn id="3" xr3:uid="{3B33A480-9372-4DA3-8356-5550661653D2}" name="Area(ft2)" dataDxfId="25">
      <calculatedColumnFormula>Table19[[#This Row],[Area(m2)]]*10.7639</calculatedColumnFormula>
    </tableColumn>
    <tableColumn id="4" xr3:uid="{4186009C-B3C4-4C35-A0C5-66889AA834D7}" name="Max Occupancy" dataDxfId="24">
      <calculatedColumnFormula>Table19[[#This Row],[Area(ft2)]]*5/1000</calculatedColumnFormula>
    </tableColumn>
    <tableColumn id="5" xr3:uid="{4B4980F4-9C63-4C65-848A-8131112B4009}" name="Rounded" dataDxfId="23">
      <calculatedColumnFormula>IF(Table19[[#This Row],[Max Occupancy]]&lt;1,ROUNDUP(Table19[[#This Row],[Max Occupancy]],0),ROUNDDOWN(Table19[[#This Row],[Max Occupancy]],0))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1E40EF1-A178-4BA2-9F35-28061A8C35A5}" name="Table20" displayName="Table20" ref="G14:K16" totalsRowShown="0" headerRowDxfId="22" tableBorderDxfId="21">
  <autoFilter ref="G14:K16" xr:uid="{75B89890-9C9B-4CD2-A765-9937066E746D}"/>
  <tableColumns count="5">
    <tableColumn id="1" xr3:uid="{365F8D02-6BB9-4464-968D-E913DFA1D5C2}" name="Room #"/>
    <tableColumn id="2" xr3:uid="{9D6C4D12-6266-4349-870A-F90BB59625FE}" name="Area(m2)"/>
    <tableColumn id="3" xr3:uid="{6A4362DA-D8E8-448C-9182-A5AC9348EDC1}" name="Area(ft2)">
      <calculatedColumnFormula>Table20[[#This Row],[Area(m2)]]*10.7639</calculatedColumnFormula>
    </tableColumn>
    <tableColumn id="4" xr3:uid="{E61B452A-5C19-4B46-B1A0-7CF50D54D298}" name="Max Occupancy">
      <calculatedColumnFormula>Table20[[#This Row],[Area(ft2)]]*5/1000</calculatedColumnFormula>
    </tableColumn>
    <tableColumn id="5" xr3:uid="{C261CDCC-9A1F-4AD2-A4CF-24708BBB7429}" name="Rounded">
      <calculatedColumnFormula>IF(Table20[[#This Row],[Max Occupancy]]&lt;1,ROUNDUP(Table20[[#This Row],[Max Occupancy]],0),ROUNDDOWN(Table20[[#This Row],[Max Occupancy]],0))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ACFC46-F6F4-44B1-82C5-59974ABE818E}" name="Table3" displayName="Table3" ref="A29:E36" totalsRowShown="0" headerRowDxfId="89" tableBorderDxfId="88">
  <autoFilter ref="A29:E36" xr:uid="{A4C52951-29E2-4B05-8C85-14A64DE5E38D}"/>
  <sortState xmlns:xlrd2="http://schemas.microsoft.com/office/spreadsheetml/2017/richdata2" ref="A30:E36">
    <sortCondition ref="A29:A36"/>
  </sortState>
  <tableColumns count="5">
    <tableColumn id="1" xr3:uid="{58254440-2045-40D5-8D3D-F7437E67D52D}" name="Room #" dataDxfId="87"/>
    <tableColumn id="2" xr3:uid="{AB57A52D-CD4C-44F5-8875-E3DC4597BE84}" name="Area(m2)" dataDxfId="86"/>
    <tableColumn id="3" xr3:uid="{507D24AD-0756-45B5-A9CE-8CD883602FCF}" name="Area(ft2)" dataDxfId="85">
      <calculatedColumnFormula>Table3[[#This Row],[Area(m2)]]*10.7639</calculatedColumnFormula>
    </tableColumn>
    <tableColumn id="4" xr3:uid="{ECE99AB5-46C3-4378-B826-8026E7A5046E}" name="Max Occupancy" dataDxfId="84">
      <calculatedColumnFormula>Table3[[#This Row],[Area(ft2)]]*5/1000</calculatedColumnFormula>
    </tableColumn>
    <tableColumn id="5" xr3:uid="{F7B0DABA-E074-48ED-9F55-CC05D816E413}" name="Rounded" dataDxfId="83">
      <calculatedColumnFormula>IF(Table3[[#This Row],[Max Occupancy]]&lt;1,ROUNDUP(Table3[[#This Row],[Max Occupancy]],0),ROUNDDOWN(Table3[[#This Row],[Max Occupancy]],0))</calculatedColumnFormula>
    </tableColumn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6CE29F-EF90-4750-8D28-CF5166172DC1}" name="Table1" displayName="Table1" ref="A1:P215" totalsRowShown="0" headerRowDxfId="20" dataDxfId="18" headerRowBorderDxfId="19" tableBorderDxfId="17" totalsRowBorderDxfId="16">
  <autoFilter ref="A1:P215" xr:uid="{4B988BC7-7E0D-4AB4-9532-68C270A449CE}"/>
  <tableColumns count="16">
    <tableColumn id="1" xr3:uid="{71B8DAD4-7226-4A73-B304-09466271D9EF}" name="Division Name" dataDxfId="15"/>
    <tableColumn id="2" xr3:uid="{D3FCE684-D9B6-441F-BB88-D9CFB905207E}" name="Division Code" dataDxfId="14"/>
    <tableColumn id="3" xr3:uid="{04937E5E-BB2A-4C37-94B8-FC1AFA2A3777}" name="Department Name" dataDxfId="13"/>
    <tableColumn id="4" xr3:uid="{5CBF6B6C-312E-463E-9B09-7D4207975CDE}" name="Include/Exclude" dataDxfId="12"/>
    <tableColumn id="5" xr3:uid="{0B1B0AE0-3D09-44F3-AFDC-0F820DA297A7}" name="ACAD/Support" dataDxfId="11"/>
    <tableColumn id="6" xr3:uid="{5EF775A5-FC01-4CA1-9B89-ADE007185325}" name="Building Code" dataDxfId="10"/>
    <tableColumn id="7" xr3:uid="{4277E879-0E21-4B37-820D-B141FC099A2E}" name="Alternate Building ID" dataDxfId="9"/>
    <tableColumn id="8" xr3:uid="{ADAC4ECC-8BC3-4EF1-9890-159977F6A3DE}" name="Building Rent" dataDxfId="8"/>
    <tableColumn id="9" xr3:uid="{81C73D12-CB3C-444F-8BB1-C0E40359FD86}" name="Floor Code" dataDxfId="7"/>
    <tableColumn id="10" xr3:uid="{ADE2030A-B594-457F-8625-831DE20EB477}" name="Room Code" dataDxfId="6"/>
    <tableColumn id="11" xr3:uid="{ED55B15B-66A8-492F-8BE9-713355503123}" name="Allocated Room Area m²" dataDxfId="5"/>
    <tableColumn id="12" xr3:uid="{F8D42123-4724-4256-BEEA-FBD596181FF0}" name="Percentage of Space" dataDxfId="4"/>
    <tableColumn id="13" xr3:uid="{DC15B6F6-4234-4DEE-8164-B24D3E3CB58C}" name="Room Type" dataDxfId="3"/>
    <tableColumn id="14" xr3:uid="{035E34D4-7C82-48B1-AB2C-1D94659975D1}" name="Room Type Description" dataDxfId="2"/>
    <tableColumn id="15" xr3:uid="{FCCF351F-CF13-400D-9AAA-A3A9D498DB97}" name="Room Standard" dataDxfId="1"/>
    <tableColumn id="16" xr3:uid="{274FCF5D-749B-4053-B8DC-1C20A2C5EF43}" name="Room Standard Standard" dataDxfId="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8257B1E-7443-42A1-9295-8B93502D1528}" name="Table4" displayName="Table4" ref="A40:E42" totalsRowShown="0" headerRowDxfId="82" tableBorderDxfId="81">
  <autoFilter ref="A40:E42" xr:uid="{2C305735-C280-48D9-A35B-D7D86C9A0890}"/>
  <tableColumns count="5">
    <tableColumn id="1" xr3:uid="{1E903CB7-AD82-4155-A913-97D53A867B02}" name="Room #" dataDxfId="80"/>
    <tableColumn id="2" xr3:uid="{62D580BF-4F6C-4E9D-A51C-FC6B6B6BE1DC}" name="Area(m2)" dataDxfId="79"/>
    <tableColumn id="3" xr3:uid="{41361E2F-3435-48B0-B697-F21D2E0EF7EB}" name="Area(ft2)">
      <calculatedColumnFormula>Table4[[#This Row],[Area(m2)]]*10.7639</calculatedColumnFormula>
    </tableColumn>
    <tableColumn id="4" xr3:uid="{42CA2478-929A-4711-87EE-C59527AC5329}" name="Max Occupancy">
      <calculatedColumnFormula>Table4[[#This Row],[Area(ft2)]]*5/1000</calculatedColumnFormula>
    </tableColumn>
    <tableColumn id="5" xr3:uid="{3150AFCD-ABB7-4E28-84EB-609BA36C8E9D}" name="Rounded">
      <calculatedColumnFormula>IF(Table4[[#This Row],[Max Occupancy]]&lt;1,ROUNDUP(Table4[[#This Row],[Max Occupancy]],0),ROUNDDOWN(Table4[[#This Row],[Max Occupancy]],0))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BBABC1-739F-4B02-8733-A817A4FCA7B8}" name="Table5" displayName="Table5" ref="G2:K21" totalsRowShown="0" headerRowDxfId="78" tableBorderDxfId="77">
  <autoFilter ref="G2:K21" xr:uid="{D227D929-5827-4D39-89C7-5907E38ED3E1}"/>
  <sortState xmlns:xlrd2="http://schemas.microsoft.com/office/spreadsheetml/2017/richdata2" ref="G3:K21">
    <sortCondition ref="G2:G21"/>
  </sortState>
  <tableColumns count="5">
    <tableColumn id="1" xr3:uid="{30642D78-4E00-4AF8-852B-5E112CA03974}" name="Room #" dataDxfId="76"/>
    <tableColumn id="2" xr3:uid="{518FE644-0EFE-40A0-A64C-5566469CF1A3}" name="Area(m2)" dataDxfId="75"/>
    <tableColumn id="3" xr3:uid="{A2576D14-F28C-4F1C-AD4B-0BD584BE0C51}" name="Area(ft2)" dataDxfId="74">
      <calculatedColumnFormula>Table5[[#This Row],[Area(m2)]]*10.7639</calculatedColumnFormula>
    </tableColumn>
    <tableColumn id="4" xr3:uid="{489F346F-A1D3-48C6-969B-AEE81D3464F5}" name="Max Occupancy" dataDxfId="73">
      <calculatedColumnFormula>Table5[[#This Row],[Area(ft2)]]*5/1000</calculatedColumnFormula>
    </tableColumn>
    <tableColumn id="5" xr3:uid="{77B28E15-A30F-4521-B975-260711C8736B}" name="Rounded" dataDxfId="72">
      <calculatedColumnFormula>IF(Table5[[#This Row],[Max Occupancy]]&lt;1,ROUNDUP(Table5[[#This Row],[Max Occupancy]],0),ROUNDDOWN(Table5[[#This Row],[Max Occupancy]],0))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9084B91-5567-4215-A541-8E28E8579A65}" name="Table6" displayName="Table6" ref="G2:K31" totalsRowShown="0" headerRowDxfId="71">
  <autoFilter ref="G2:K31" xr:uid="{EAB0C89A-2754-4B81-B57A-B7252C1C1519}"/>
  <sortState xmlns:xlrd2="http://schemas.microsoft.com/office/spreadsheetml/2017/richdata2" ref="G3:K31">
    <sortCondition ref="G2:G31"/>
  </sortState>
  <tableColumns count="5">
    <tableColumn id="1" xr3:uid="{7B788C0F-0E04-40D6-9ED0-2C8C83768FA9}" name="Room #" dataCellStyle="Normal"/>
    <tableColumn id="2" xr3:uid="{3D23D408-48E9-45D9-A255-62FA34977C40}" name="Area(m2)" dataCellStyle="Normal"/>
    <tableColumn id="3" xr3:uid="{7F1EEBFB-1B4D-4FB2-BC0F-35110312C72C}" name="Area(ft2)" dataDxfId="70">
      <calculatedColumnFormula>Table6[[#This Row],[Area(m2)]]*10.7639</calculatedColumnFormula>
    </tableColumn>
    <tableColumn id="4" xr3:uid="{FCE664D8-9323-4EF8-A3C4-18859410943E}" name="Max Occupancy" dataDxfId="69">
      <calculatedColumnFormula>Table6[[#This Row],[Area(ft2)]]*5/1000</calculatedColumnFormula>
    </tableColumn>
    <tableColumn id="5" xr3:uid="{E73E9948-3890-4D08-BB8F-A34D144B44C4}" name="Rounded" dataDxfId="68">
      <calculatedColumnFormula>IF(Table6[[#This Row],[Max Occupancy]]&lt;1,ROUNDUP(Table6[[#This Row],[Max Occupancy]],0),ROUNDDOWN(Table6[[#This Row],[Max Occupancy]],0))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905BAFE-9C1C-4775-BA47-EB1ABAFE7039}" name="Table7" displayName="Table7" ref="A2:E12" totalsRowShown="0">
  <autoFilter ref="A2:E12" xr:uid="{7F9C563D-5CBE-47A3-B406-F72E08E6E645}"/>
  <sortState xmlns:xlrd2="http://schemas.microsoft.com/office/spreadsheetml/2017/richdata2" ref="A3:E11">
    <sortCondition ref="A2:A11"/>
  </sortState>
  <tableColumns count="5">
    <tableColumn id="1" xr3:uid="{EFB8CE46-F257-4435-8E54-A174EB621B93}" name="Room #"/>
    <tableColumn id="2" xr3:uid="{AA88103D-77D1-4B61-AFD3-B51934B457C7}" name="Area(m2)"/>
    <tableColumn id="3" xr3:uid="{1AFB6175-2859-4706-BBDB-E050D8604E2C}" name="Area(ft2)" dataDxfId="67">
      <calculatedColumnFormula>Table7[[#This Row],[Area(m2)]]*10.7639</calculatedColumnFormula>
    </tableColumn>
    <tableColumn id="4" xr3:uid="{B2D6D916-E288-4939-BB0A-8994DE379DC7}" name="Max Occupancy" dataDxfId="66">
      <calculatedColumnFormula>Table7[[#This Row],[Area(ft2)]]*5/1000</calculatedColumnFormula>
    </tableColumn>
    <tableColumn id="5" xr3:uid="{7A5F2670-19C8-4768-8442-072C18FE1434}" name="Rounded" dataDxfId="65">
      <calculatedColumnFormula>IF(Table7[[#This Row],[Max Occupancy]]&lt;1,ROUNDUP(Table7[[#This Row],[Max Occupancy]],0),ROUNDDOWN(Table7[[#This Row],[Max Occupancy]],0))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298C0D4-281E-4063-B770-CEA21E241FDD}" name="Table8" displayName="Table8" ref="A15:E17" totalsRowShown="0" headerRowDxfId="64" tableBorderDxfId="63">
  <autoFilter ref="A15:E17" xr:uid="{96EFB265-5FD1-4F8D-9B74-70596A94D936}"/>
  <tableColumns count="5">
    <tableColumn id="1" xr3:uid="{859D626C-F805-4C98-86C6-64EFDBEC0DE3}" name="Room #"/>
    <tableColumn id="2" xr3:uid="{2A5067D9-896C-4A31-A27A-88D563859F82}" name="Area(m2)"/>
    <tableColumn id="3" xr3:uid="{D776E099-4284-4BE6-9EA3-CFCDFFE27E33}" name="Area(ft2)">
      <calculatedColumnFormula>Table8[[#This Row],[Area(m2)]]*10.7639</calculatedColumnFormula>
    </tableColumn>
    <tableColumn id="4" xr3:uid="{25FBF780-63D4-4D2C-A27E-6C6FBB244681}" name="Max Occupancy">
      <calculatedColumnFormula>Table8[[#This Row],[Area(ft2)]]*5/1000</calculatedColumnFormula>
    </tableColumn>
    <tableColumn id="5" xr3:uid="{89FCBE1C-B0A6-475B-934B-DE8E4233DCE8}" name="Rounded">
      <calculatedColumnFormula>IF(Table8[[#This Row],[Max Occupancy]]&lt;1,ROUNDUP(Table8[[#This Row],[Max Occupancy]],0),ROUNDDOWN(Table8[[#This Row],[Max Occupancy]],0))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CB27FBB-D720-4F73-A3D7-3858F33469F1}" name="Table9" displayName="Table9" ref="A21:E30" totalsRowShown="0" headerRowDxfId="62" tableBorderDxfId="61">
  <autoFilter ref="A21:E30" xr:uid="{FFD3DCCF-63ED-42CF-9215-D580A57F0C71}"/>
  <sortState xmlns:xlrd2="http://schemas.microsoft.com/office/spreadsheetml/2017/richdata2" ref="A22:E30">
    <sortCondition ref="A21:A30"/>
  </sortState>
  <tableColumns count="5">
    <tableColumn id="1" xr3:uid="{EFEE6846-9FB5-4200-8B21-9686551EC549}" name="Room #"/>
    <tableColumn id="2" xr3:uid="{F68D162C-F7D4-48C1-9E27-C41DD77E94ED}" name="Area(m2)"/>
    <tableColumn id="3" xr3:uid="{F8FF242F-C273-4879-8C74-C4FF247A2721}" name="Area(ft2)" dataDxfId="60">
      <calculatedColumnFormula>Table9[[#This Row],[Area(m2)]]*10.7639</calculatedColumnFormula>
    </tableColumn>
    <tableColumn id="4" xr3:uid="{98DB67D0-8A59-40FA-BF99-FB24CCB2E616}" name="Max Occupancy" dataDxfId="59">
      <calculatedColumnFormula>Table9[[#This Row],[Area(ft2)]]*5/1000</calculatedColumnFormula>
    </tableColumn>
    <tableColumn id="5" xr3:uid="{482EDA88-F344-4548-BD2E-72CD0E9A52CE}" name="Rounded" dataDxfId="58">
      <calculatedColumnFormula>IF(Table9[[#This Row],[Max Occupancy]]&lt;1,ROUNDUP(Table9[[#This Row],[Max Occupancy]],0),ROUNDDOWN(Table9[[#This Row],[Max Occupancy]],0))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57C88DB-E1EC-4011-90F4-35681FA82136}" name="Table10" displayName="Table10" ref="A2:E4" totalsRowShown="0">
  <autoFilter ref="A2:E4" xr:uid="{41C27BD1-7E53-4A9C-ABFF-A906AD7F2901}"/>
  <tableColumns count="5">
    <tableColumn id="1" xr3:uid="{C5913549-1DD1-47BD-9023-7A75107B4727}" name="Room #"/>
    <tableColumn id="2" xr3:uid="{B05229CE-927F-4A0A-BAEA-432BA7024752}" name="Area(m2)"/>
    <tableColumn id="3" xr3:uid="{F207A008-CFE1-4529-BD72-EF793AA2726A}" name="Area(ft2)">
      <calculatedColumnFormula>Table10[[#This Row],[Area(m2)]]*10.7639</calculatedColumnFormula>
    </tableColumn>
    <tableColumn id="4" xr3:uid="{E8C9AD55-4B7A-4B9D-8296-35C1DAEF8870}" name="Max Occupancy">
      <calculatedColumnFormula>Table10[[#This Row],[Area(ft2)]]*5/1000</calculatedColumnFormula>
    </tableColumn>
    <tableColumn id="5" xr3:uid="{5698C3CF-6A9A-44BC-8061-070DC3209C14}" name="Rounded">
      <calculatedColumnFormula>IF(Table10[[#This Row],[Max Occupancy]]&lt;1,ROUNDUP(Table10[[#This Row],[Max Occupancy]],0),ROUNDDOWN(Table10[[#This Row],[Max Occupancy]],0))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4" Type="http://schemas.openxmlformats.org/officeDocument/2006/relationships/table" Target="../tables/table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table" Target="../tables/table16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F701-F5D2-4690-8D62-A3B8063777C0}">
  <dimension ref="A1:K42"/>
  <sheetViews>
    <sheetView tabSelected="1" zoomScale="80" zoomScaleNormal="80" workbookViewId="0">
      <selection activeCell="A27" sqref="A27"/>
    </sheetView>
  </sheetViews>
  <sheetFormatPr defaultRowHeight="14.35" x14ac:dyDescent="0.5"/>
  <cols>
    <col min="1" max="1" width="9.1171875" customWidth="1"/>
    <col min="2" max="2" width="10.5859375" customWidth="1"/>
    <col min="3" max="3" width="11" customWidth="1"/>
    <col min="4" max="4" width="15.87890625" customWidth="1"/>
    <col min="5" max="5" width="10.41015625" customWidth="1"/>
    <col min="7" max="7" width="9.1171875" customWidth="1"/>
    <col min="8" max="8" width="10.5859375" customWidth="1"/>
    <col min="9" max="9" width="10.41015625" customWidth="1"/>
    <col min="10" max="10" width="15.87890625" customWidth="1"/>
    <col min="11" max="11" width="10.41015625" customWidth="1"/>
  </cols>
  <sheetData>
    <row r="1" spans="1:11" x14ac:dyDescent="0.5">
      <c r="A1" s="20" t="s">
        <v>0</v>
      </c>
      <c r="B1" s="20"/>
      <c r="G1" t="s">
        <v>1</v>
      </c>
    </row>
    <row r="2" spans="1:11" x14ac:dyDescent="0.5">
      <c r="A2" s="20" t="s">
        <v>2</v>
      </c>
      <c r="B2" s="20" t="s">
        <v>3</v>
      </c>
      <c r="C2" t="s">
        <v>4</v>
      </c>
      <c r="D2" t="s">
        <v>5</v>
      </c>
      <c r="E2" t="s">
        <v>6</v>
      </c>
      <c r="G2" s="23" t="s">
        <v>2</v>
      </c>
      <c r="H2" s="24" t="s">
        <v>3</v>
      </c>
      <c r="I2" s="24" t="s">
        <v>4</v>
      </c>
      <c r="J2" s="24" t="s">
        <v>5</v>
      </c>
      <c r="K2" s="25" t="s">
        <v>6</v>
      </c>
    </row>
    <row r="3" spans="1:11" x14ac:dyDescent="0.5">
      <c r="A3" s="21" t="s">
        <v>7</v>
      </c>
      <c r="B3" s="22">
        <v>28.19</v>
      </c>
      <c r="C3">
        <f>Table2[[#This Row],[Area(m2)]]*10.7639</f>
        <v>303.43434100000002</v>
      </c>
      <c r="D3">
        <f>Table2[[#This Row],[Area(ft2)]]*5/1000</f>
        <v>1.5171717050000002</v>
      </c>
      <c r="E3">
        <f>IF(Table2[[#This Row],[Max Occupancy]]&lt;1,ROUNDUP(Table2[[#This Row],[Max Occupancy]],0),ROUNDDOWN(Table2[[#This Row],[Max Occupancy]],0))</f>
        <v>1</v>
      </c>
      <c r="G3" s="26" t="s">
        <v>8</v>
      </c>
      <c r="H3" s="27">
        <v>10.76</v>
      </c>
      <c r="I3">
        <f>Table5[[#This Row],[Area(m2)]]*10.7639</f>
        <v>115.819564</v>
      </c>
      <c r="J3">
        <f>Table5[[#This Row],[Area(ft2)]]*5/1000</f>
        <v>0.57909781999999999</v>
      </c>
      <c r="K3">
        <f>IF(Table5[[#This Row],[Max Occupancy]]&lt;1,ROUNDUP(Table5[[#This Row],[Max Occupancy]],0),ROUNDDOWN(Table5[[#This Row],[Max Occupancy]],0))</f>
        <v>1</v>
      </c>
    </row>
    <row r="4" spans="1:11" x14ac:dyDescent="0.5">
      <c r="A4" s="21" t="s">
        <v>9</v>
      </c>
      <c r="B4" s="22">
        <v>26.3</v>
      </c>
      <c r="C4">
        <f>Table2[[#This Row],[Area(m2)]]*10.7639</f>
        <v>283.09057000000001</v>
      </c>
      <c r="D4">
        <f>Table2[[#This Row],[Area(ft2)]]*5/1000</f>
        <v>1.4154528500000001</v>
      </c>
      <c r="E4">
        <f>IF(Table2[[#This Row],[Max Occupancy]]&lt;1,ROUNDUP(Table2[[#This Row],[Max Occupancy]],0),ROUNDDOWN(Table2[[#This Row],[Max Occupancy]],0))</f>
        <v>1</v>
      </c>
      <c r="G4" s="26" t="s">
        <v>10</v>
      </c>
      <c r="H4" s="27">
        <v>14.11</v>
      </c>
      <c r="I4">
        <f>Table5[[#This Row],[Area(m2)]]*10.7639</f>
        <v>151.87862899999999</v>
      </c>
      <c r="J4">
        <f>Table5[[#This Row],[Area(ft2)]]*5/1000</f>
        <v>0.75939314499999999</v>
      </c>
      <c r="K4">
        <f>IF(Table5[[#This Row],[Max Occupancy]]&lt;1,ROUNDUP(Table5[[#This Row],[Max Occupancy]],0),ROUNDDOWN(Table5[[#This Row],[Max Occupancy]],0))</f>
        <v>1</v>
      </c>
    </row>
    <row r="5" spans="1:11" x14ac:dyDescent="0.5">
      <c r="A5" s="29" t="s">
        <v>11</v>
      </c>
      <c r="B5" s="30">
        <v>25.85</v>
      </c>
      <c r="C5" s="31">
        <f>Table2[[#This Row],[Area(m2)]]*10.7639</f>
        <v>278.24681500000003</v>
      </c>
      <c r="D5" s="31">
        <f>Table2[[#This Row],[Area(ft2)]]*5/1000</f>
        <v>1.3912340750000001</v>
      </c>
      <c r="E5" s="31">
        <f>IF(Table2[[#This Row],[Max Occupancy]]&lt;1,ROUNDUP(Table2[[#This Row],[Max Occupancy]],0),ROUNDDOWN(Table2[[#This Row],[Max Occupancy]],0))</f>
        <v>1</v>
      </c>
      <c r="G5" s="26" t="s">
        <v>12</v>
      </c>
      <c r="H5" s="27">
        <v>9.35</v>
      </c>
      <c r="I5">
        <f>Table5[[#This Row],[Area(m2)]]*10.7639</f>
        <v>100.64246499999999</v>
      </c>
      <c r="J5">
        <f>Table5[[#This Row],[Area(ft2)]]*5/1000</f>
        <v>0.50321232500000002</v>
      </c>
      <c r="K5">
        <f>IF(Table5[[#This Row],[Max Occupancy]]&lt;1,ROUNDUP(Table5[[#This Row],[Max Occupancy]],0),ROUNDDOWN(Table5[[#This Row],[Max Occupancy]],0))</f>
        <v>1</v>
      </c>
    </row>
    <row r="6" spans="1:11" x14ac:dyDescent="0.5">
      <c r="A6" s="21" t="s">
        <v>13</v>
      </c>
      <c r="B6" s="22">
        <v>55.8</v>
      </c>
      <c r="C6">
        <f>Table2[[#This Row],[Area(m2)]]*10.7639</f>
        <v>600.62561999999991</v>
      </c>
      <c r="D6">
        <f>Table2[[#This Row],[Area(ft2)]]*5/1000</f>
        <v>3.0031280999999996</v>
      </c>
      <c r="E6">
        <f>IF(Table2[[#This Row],[Max Occupancy]]&lt;1,ROUNDUP(Table2[[#This Row],[Max Occupancy]],0),ROUNDDOWN(Table2[[#This Row],[Max Occupancy]],0))</f>
        <v>3</v>
      </c>
      <c r="G6" s="26" t="s">
        <v>14</v>
      </c>
      <c r="H6" s="27">
        <v>29.44</v>
      </c>
      <c r="I6">
        <f>Table5[[#This Row],[Area(m2)]]*10.7639</f>
        <v>316.88921599999998</v>
      </c>
      <c r="J6">
        <f>Table5[[#This Row],[Area(ft2)]]*5/1000</f>
        <v>1.58444608</v>
      </c>
      <c r="K6">
        <f>IF(Table5[[#This Row],[Max Occupancy]]&lt;1,ROUNDUP(Table5[[#This Row],[Max Occupancy]],0),ROUNDDOWN(Table5[[#This Row],[Max Occupancy]],0))</f>
        <v>1</v>
      </c>
    </row>
    <row r="7" spans="1:11" x14ac:dyDescent="0.5">
      <c r="A7" s="29" t="s">
        <v>15</v>
      </c>
      <c r="B7" s="30">
        <v>54.51</v>
      </c>
      <c r="C7" s="31">
        <f>Table2[[#This Row],[Area(m2)]]*10.7639</f>
        <v>586.74018899999999</v>
      </c>
      <c r="D7" s="31">
        <f>Table2[[#This Row],[Area(ft2)]]*5/1000</f>
        <v>2.933700945</v>
      </c>
      <c r="E7" s="31">
        <f>IF(Table2[[#This Row],[Max Occupancy]]&lt;1,ROUNDUP(Table2[[#This Row],[Max Occupancy]],0),ROUNDDOWN(Table2[[#This Row],[Max Occupancy]],0))</f>
        <v>2</v>
      </c>
      <c r="G7" s="26" t="s">
        <v>16</v>
      </c>
      <c r="H7" s="27">
        <v>10.55</v>
      </c>
      <c r="I7">
        <f>Table5[[#This Row],[Area(m2)]]*10.7639</f>
        <v>113.559145</v>
      </c>
      <c r="J7">
        <f>Table5[[#This Row],[Area(ft2)]]*5/1000</f>
        <v>0.56779572499999997</v>
      </c>
      <c r="K7">
        <f>IF(Table5[[#This Row],[Max Occupancy]]&lt;1,ROUNDUP(Table5[[#This Row],[Max Occupancy]],0),ROUNDDOWN(Table5[[#This Row],[Max Occupancy]],0))</f>
        <v>1</v>
      </c>
    </row>
    <row r="8" spans="1:11" x14ac:dyDescent="0.5">
      <c r="A8" s="29" t="s">
        <v>17</v>
      </c>
      <c r="B8" s="30">
        <v>33.42</v>
      </c>
      <c r="C8" s="31">
        <f>Table2[[#This Row],[Area(m2)]]*10.7639</f>
        <v>359.72953799999999</v>
      </c>
      <c r="D8" s="31">
        <f>Table2[[#This Row],[Area(ft2)]]*5/1000</f>
        <v>1.7986476899999999</v>
      </c>
      <c r="E8" s="31">
        <f>IF(Table2[[#This Row],[Max Occupancy]]&lt;1,ROUNDUP(Table2[[#This Row],[Max Occupancy]],0),ROUNDDOWN(Table2[[#This Row],[Max Occupancy]],0))</f>
        <v>1</v>
      </c>
      <c r="G8" s="26" t="s">
        <v>18</v>
      </c>
      <c r="H8" s="27">
        <v>13.95</v>
      </c>
      <c r="I8">
        <f>Table5[[#This Row],[Area(m2)]]*10.7639</f>
        <v>150.15640499999998</v>
      </c>
      <c r="J8">
        <f>Table5[[#This Row],[Area(ft2)]]*5/1000</f>
        <v>0.75078202499999991</v>
      </c>
      <c r="K8">
        <f>IF(Table5[[#This Row],[Max Occupancy]]&lt;1,ROUNDUP(Table5[[#This Row],[Max Occupancy]],0),ROUNDDOWN(Table5[[#This Row],[Max Occupancy]],0))</f>
        <v>1</v>
      </c>
    </row>
    <row r="9" spans="1:11" x14ac:dyDescent="0.5">
      <c r="A9" s="21" t="s">
        <v>19</v>
      </c>
      <c r="B9" s="22">
        <v>37.46</v>
      </c>
      <c r="C9">
        <f>Table2[[#This Row],[Area(m2)]]*10.7639</f>
        <v>403.21569399999998</v>
      </c>
      <c r="D9">
        <f>Table2[[#This Row],[Area(ft2)]]*5/1000</f>
        <v>2.0160784700000001</v>
      </c>
      <c r="E9">
        <f>IF(Table2[[#This Row],[Max Occupancy]]&lt;1,ROUNDUP(Table2[[#This Row],[Max Occupancy]],0),ROUNDDOWN(Table2[[#This Row],[Max Occupancy]],0))</f>
        <v>2</v>
      </c>
      <c r="G9" s="26" t="s">
        <v>20</v>
      </c>
      <c r="H9" s="27">
        <v>34.69</v>
      </c>
      <c r="I9">
        <f>Table5[[#This Row],[Area(m2)]]*10.7639</f>
        <v>373.39969099999996</v>
      </c>
      <c r="J9">
        <f>Table5[[#This Row],[Area(ft2)]]*5/1000</f>
        <v>1.8669984549999998</v>
      </c>
      <c r="K9">
        <f>IF(Table5[[#This Row],[Max Occupancy]]&lt;1,ROUNDUP(Table5[[#This Row],[Max Occupancy]],0),ROUNDDOWN(Table5[[#This Row],[Max Occupancy]],0))</f>
        <v>1</v>
      </c>
    </row>
    <row r="10" spans="1:11" x14ac:dyDescent="0.5">
      <c r="A10" s="32" t="s">
        <v>21</v>
      </c>
      <c r="B10" s="33">
        <v>59.36</v>
      </c>
      <c r="C10" s="34">
        <f>Table2[[#This Row],[Area(m2)]]*10.7639</f>
        <v>638.94510400000001</v>
      </c>
      <c r="D10" s="34">
        <f>Table2[[#This Row],[Area(ft2)]]*5/1000</f>
        <v>3.19472552</v>
      </c>
      <c r="E10" s="34">
        <f>IF(Table2[[#This Row],[Max Occupancy]]&lt;1,ROUNDUP(Table2[[#This Row],[Max Occupancy]],0),ROUNDDOWN(Table2[[#This Row],[Max Occupancy]],0))</f>
        <v>3</v>
      </c>
      <c r="G10" s="26" t="s">
        <v>22</v>
      </c>
      <c r="H10" s="27">
        <v>12.65</v>
      </c>
      <c r="I10">
        <f>Table5[[#This Row],[Area(m2)]]*10.7639</f>
        <v>136.16333499999999</v>
      </c>
      <c r="J10">
        <f>Table5[[#This Row],[Area(ft2)]]*5/1000</f>
        <v>0.68081667499999987</v>
      </c>
      <c r="K10">
        <f>IF(Table5[[#This Row],[Max Occupancy]]&lt;1,ROUNDUP(Table5[[#This Row],[Max Occupancy]],0),ROUNDDOWN(Table5[[#This Row],[Max Occupancy]],0))</f>
        <v>1</v>
      </c>
    </row>
    <row r="11" spans="1:11" x14ac:dyDescent="0.5">
      <c r="A11" s="21" t="s">
        <v>23</v>
      </c>
      <c r="B11" s="22">
        <v>22.14</v>
      </c>
      <c r="C11">
        <f>Table2[[#This Row],[Area(m2)]]*10.7639</f>
        <v>238.312746</v>
      </c>
      <c r="D11">
        <f>Table2[[#This Row],[Area(ft2)]]*5/1000</f>
        <v>1.1915637300000002</v>
      </c>
      <c r="E11">
        <f>IF(Table2[[#This Row],[Max Occupancy]]&lt;1,ROUNDUP(Table2[[#This Row],[Max Occupancy]],0),ROUNDDOWN(Table2[[#This Row],[Max Occupancy]],0))</f>
        <v>1</v>
      </c>
      <c r="G11" s="26" t="s">
        <v>24</v>
      </c>
      <c r="H11" s="27">
        <v>8.85</v>
      </c>
      <c r="I11">
        <f>Table5[[#This Row],[Area(m2)]]*10.7639</f>
        <v>95.260514999999998</v>
      </c>
      <c r="J11">
        <f>Table5[[#This Row],[Area(ft2)]]*5/1000</f>
        <v>0.47630257500000001</v>
      </c>
      <c r="K11">
        <f>IF(Table5[[#This Row],[Max Occupancy]]&lt;1,ROUNDUP(Table5[[#This Row],[Max Occupancy]],0),ROUNDDOWN(Table5[[#This Row],[Max Occupancy]],0))</f>
        <v>1</v>
      </c>
    </row>
    <row r="12" spans="1:11" x14ac:dyDescent="0.5">
      <c r="A12" s="21" t="s">
        <v>25</v>
      </c>
      <c r="B12" s="22">
        <v>25.85</v>
      </c>
      <c r="C12">
        <f>Table2[[#This Row],[Area(m2)]]*10.7639</f>
        <v>278.24681500000003</v>
      </c>
      <c r="D12">
        <f>Table2[[#This Row],[Area(ft2)]]*5/1000</f>
        <v>1.3912340750000001</v>
      </c>
      <c r="E12">
        <f>IF(Table2[[#This Row],[Max Occupancy]]&lt;1,ROUNDUP(Table2[[#This Row],[Max Occupancy]],0),ROUNDDOWN(Table2[[#This Row],[Max Occupancy]],0))</f>
        <v>1</v>
      </c>
      <c r="G12" s="26" t="s">
        <v>26</v>
      </c>
      <c r="H12" s="27">
        <v>12.24</v>
      </c>
      <c r="I12">
        <f>Table5[[#This Row],[Area(m2)]]*10.7639</f>
        <v>131.750136</v>
      </c>
      <c r="J12">
        <f>Table5[[#This Row],[Area(ft2)]]*5/1000</f>
        <v>0.65875068000000003</v>
      </c>
      <c r="K12">
        <f>IF(Table5[[#This Row],[Max Occupancy]]&lt;1,ROUNDUP(Table5[[#This Row],[Max Occupancy]],0),ROUNDDOWN(Table5[[#This Row],[Max Occupancy]],0))</f>
        <v>1</v>
      </c>
    </row>
    <row r="13" spans="1:11" x14ac:dyDescent="0.5">
      <c r="A13" s="21" t="s">
        <v>27</v>
      </c>
      <c r="B13" s="22">
        <v>34.5</v>
      </c>
      <c r="C13">
        <f>Table2[[#This Row],[Area(m2)]]*10.7639</f>
        <v>371.35454999999996</v>
      </c>
      <c r="D13">
        <f>Table2[[#This Row],[Area(ft2)]]*5/1000</f>
        <v>1.8567727499999997</v>
      </c>
      <c r="E13">
        <f>IF(Table2[[#This Row],[Max Occupancy]]&lt;1,ROUNDUP(Table2[[#This Row],[Max Occupancy]],0),ROUNDDOWN(Table2[[#This Row],[Max Occupancy]],0))</f>
        <v>1</v>
      </c>
      <c r="G13" s="26" t="s">
        <v>28</v>
      </c>
      <c r="H13" s="27">
        <v>12.48</v>
      </c>
      <c r="I13">
        <f>Table5[[#This Row],[Area(m2)]]*10.7639</f>
        <v>134.333472</v>
      </c>
      <c r="J13">
        <f>Table5[[#This Row],[Area(ft2)]]*5/1000</f>
        <v>0.67166736000000005</v>
      </c>
      <c r="K13">
        <f>IF(Table5[[#This Row],[Max Occupancy]]&lt;1,ROUNDUP(Table5[[#This Row],[Max Occupancy]],0),ROUNDDOWN(Table5[[#This Row],[Max Occupancy]],0))</f>
        <v>1</v>
      </c>
    </row>
    <row r="14" spans="1:11" x14ac:dyDescent="0.5">
      <c r="A14" s="21" t="s">
        <v>29</v>
      </c>
      <c r="B14" s="22">
        <v>37.53</v>
      </c>
      <c r="C14">
        <f>Table2[[#This Row],[Area(m2)]]*10.7639</f>
        <v>403.96916699999997</v>
      </c>
      <c r="D14">
        <f>Table2[[#This Row],[Area(ft2)]]*5/1000</f>
        <v>2.0198458349999999</v>
      </c>
      <c r="E14">
        <f>IF(Table2[[#This Row],[Max Occupancy]]&lt;1,ROUNDUP(Table2[[#This Row],[Max Occupancy]],0),ROUNDDOWN(Table2[[#This Row],[Max Occupancy]],0))</f>
        <v>2</v>
      </c>
      <c r="G14" s="26" t="s">
        <v>30</v>
      </c>
      <c r="H14" s="27">
        <v>28.43</v>
      </c>
      <c r="I14">
        <f>Table5[[#This Row],[Area(m2)]]*10.7639</f>
        <v>306.01767699999999</v>
      </c>
      <c r="J14">
        <f>Table5[[#This Row],[Area(ft2)]]*5/1000</f>
        <v>1.530088385</v>
      </c>
      <c r="K14">
        <f>IF(Table5[[#This Row],[Max Occupancy]]&lt;1,ROUNDUP(Table5[[#This Row],[Max Occupancy]],0),ROUNDDOWN(Table5[[#This Row],[Max Occupancy]],0))</f>
        <v>1</v>
      </c>
    </row>
    <row r="15" spans="1:11" x14ac:dyDescent="0.5">
      <c r="A15" s="21" t="s">
        <v>31</v>
      </c>
      <c r="B15" s="22">
        <v>44.19</v>
      </c>
      <c r="C15">
        <f>Table2[[#This Row],[Area(m2)]]*10.7639</f>
        <v>475.65674099999995</v>
      </c>
      <c r="D15">
        <f>Table2[[#This Row],[Area(ft2)]]*5/1000</f>
        <v>2.3782837049999999</v>
      </c>
      <c r="E15">
        <f>IF(Table2[[#This Row],[Max Occupancy]]&lt;1,ROUNDUP(Table2[[#This Row],[Max Occupancy]],0),ROUNDDOWN(Table2[[#This Row],[Max Occupancy]],0))</f>
        <v>2</v>
      </c>
      <c r="G15" s="26" t="s">
        <v>32</v>
      </c>
      <c r="H15" s="27">
        <v>12.47</v>
      </c>
      <c r="I15">
        <f>Table5[[#This Row],[Area(m2)]]*10.7639</f>
        <v>134.22583299999999</v>
      </c>
      <c r="J15">
        <f>Table5[[#This Row],[Area(ft2)]]*5/1000</f>
        <v>0.67112916499999997</v>
      </c>
      <c r="K15">
        <f>IF(Table5[[#This Row],[Max Occupancy]]&lt;1,ROUNDUP(Table5[[#This Row],[Max Occupancy]],0),ROUNDDOWN(Table5[[#This Row],[Max Occupancy]],0))</f>
        <v>1</v>
      </c>
    </row>
    <row r="16" spans="1:11" x14ac:dyDescent="0.5">
      <c r="A16" s="21" t="s">
        <v>33</v>
      </c>
      <c r="B16" s="22">
        <v>23.44</v>
      </c>
      <c r="C16">
        <f>Table2[[#This Row],[Area(m2)]]*10.7639</f>
        <v>252.30581599999999</v>
      </c>
      <c r="D16">
        <f>Table2[[#This Row],[Area(ft2)]]*5/1000</f>
        <v>1.2615290800000001</v>
      </c>
      <c r="E16">
        <f>IF(Table2[[#This Row],[Max Occupancy]]&lt;1,ROUNDUP(Table2[[#This Row],[Max Occupancy]],0),ROUNDDOWN(Table2[[#This Row],[Max Occupancy]],0))</f>
        <v>1</v>
      </c>
      <c r="G16" s="26" t="s">
        <v>34</v>
      </c>
      <c r="H16" s="27">
        <v>11.09</v>
      </c>
      <c r="I16">
        <f>Table5[[#This Row],[Area(m2)]]*10.7639</f>
        <v>119.371651</v>
      </c>
      <c r="J16">
        <f>Table5[[#This Row],[Area(ft2)]]*5/1000</f>
        <v>0.596858255</v>
      </c>
      <c r="K16">
        <f>IF(Table5[[#This Row],[Max Occupancy]]&lt;1,ROUNDUP(Table5[[#This Row],[Max Occupancy]],0),ROUNDDOWN(Table5[[#This Row],[Max Occupancy]],0))</f>
        <v>1</v>
      </c>
    </row>
    <row r="17" spans="1:11" x14ac:dyDescent="0.5">
      <c r="A17" s="21" t="s">
        <v>35</v>
      </c>
      <c r="B17" s="22">
        <v>47.55</v>
      </c>
      <c r="C17">
        <f>Table2[[#This Row],[Area(m2)]]*10.7639</f>
        <v>511.82344499999994</v>
      </c>
      <c r="D17">
        <f>Table2[[#This Row],[Area(ft2)]]*5/1000</f>
        <v>2.5591172249999996</v>
      </c>
      <c r="E17">
        <f>IF(Table2[[#This Row],[Max Occupancy]]&lt;1,ROUNDUP(Table2[[#This Row],[Max Occupancy]],0),ROUNDDOWN(Table2[[#This Row],[Max Occupancy]],0))</f>
        <v>2</v>
      </c>
      <c r="G17" s="26" t="s">
        <v>36</v>
      </c>
      <c r="H17" s="27">
        <v>18.91</v>
      </c>
      <c r="I17">
        <f>Table5[[#This Row],[Area(m2)]]*10.7639</f>
        <v>203.54534899999999</v>
      </c>
      <c r="J17">
        <f>Table5[[#This Row],[Area(ft2)]]*5/1000</f>
        <v>1.017726745</v>
      </c>
      <c r="K17">
        <f>IF(Table5[[#This Row],[Max Occupancy]]&lt;1,ROUNDUP(Table5[[#This Row],[Max Occupancy]],0),ROUNDDOWN(Table5[[#This Row],[Max Occupancy]],0))</f>
        <v>1</v>
      </c>
    </row>
    <row r="18" spans="1:11" x14ac:dyDescent="0.5">
      <c r="A18" s="21" t="s">
        <v>37</v>
      </c>
      <c r="B18" s="22">
        <v>23.44</v>
      </c>
      <c r="C18">
        <f>Table2[[#This Row],[Area(m2)]]*10.7639</f>
        <v>252.30581599999999</v>
      </c>
      <c r="D18">
        <f>Table2[[#This Row],[Area(ft2)]]*5/1000</f>
        <v>1.2615290800000001</v>
      </c>
      <c r="E18">
        <f>IF(Table2[[#This Row],[Max Occupancy]]&lt;1,ROUNDUP(Table2[[#This Row],[Max Occupancy]],0),ROUNDDOWN(Table2[[#This Row],[Max Occupancy]],0))</f>
        <v>1</v>
      </c>
      <c r="G18" s="26" t="s">
        <v>38</v>
      </c>
      <c r="H18" s="27">
        <v>16.82</v>
      </c>
      <c r="I18">
        <f>Table5[[#This Row],[Area(m2)]]*10.7639</f>
        <v>181.04879800000001</v>
      </c>
      <c r="J18">
        <f>Table5[[#This Row],[Area(ft2)]]*5/1000</f>
        <v>0.90524399</v>
      </c>
      <c r="K18">
        <f>IF(Table5[[#This Row],[Max Occupancy]]&lt;1,ROUNDUP(Table5[[#This Row],[Max Occupancy]],0),ROUNDDOWN(Table5[[#This Row],[Max Occupancy]],0))</f>
        <v>1</v>
      </c>
    </row>
    <row r="19" spans="1:11" x14ac:dyDescent="0.5">
      <c r="A19" s="21" t="s">
        <v>39</v>
      </c>
      <c r="B19" s="22">
        <v>71.27</v>
      </c>
      <c r="C19">
        <f>Table2[[#This Row],[Area(m2)]]*10.7639</f>
        <v>767.14315299999998</v>
      </c>
      <c r="D19">
        <f>Table2[[#This Row],[Area(ft2)]]*5/1000</f>
        <v>3.8357157649999998</v>
      </c>
      <c r="E19">
        <f>IF(Table2[[#This Row],[Max Occupancy]]&lt;1,ROUNDUP(Table2[[#This Row],[Max Occupancy]],0),ROUNDDOWN(Table2[[#This Row],[Max Occupancy]],0))</f>
        <v>3</v>
      </c>
      <c r="G19" s="26" t="s">
        <v>40</v>
      </c>
      <c r="H19" s="27">
        <v>28.18</v>
      </c>
      <c r="I19">
        <f>Table5[[#This Row],[Area(m2)]]*10.7639</f>
        <v>303.32670200000001</v>
      </c>
      <c r="J19">
        <f>Table5[[#This Row],[Area(ft2)]]*5/1000</f>
        <v>1.5166335100000001</v>
      </c>
      <c r="K19">
        <f>IF(Table5[[#This Row],[Max Occupancy]]&lt;1,ROUNDUP(Table5[[#This Row],[Max Occupancy]],0),ROUNDDOWN(Table5[[#This Row],[Max Occupancy]],0))</f>
        <v>1</v>
      </c>
    </row>
    <row r="20" spans="1:11" x14ac:dyDescent="0.5">
      <c r="A20" s="21" t="s">
        <v>41</v>
      </c>
      <c r="B20" s="35">
        <v>78.260000000000005</v>
      </c>
      <c r="C20">
        <f>Table2[[#This Row],[Area(m2)]]*10.7639</f>
        <v>842.38281400000005</v>
      </c>
      <c r="D20">
        <f>Table2[[#This Row],[Area(ft2)]]*5/1000</f>
        <v>4.2119140700000006</v>
      </c>
      <c r="E20">
        <f>IF(Table2[[#This Row],[Max Occupancy]]&lt;1,ROUNDUP(Table2[[#This Row],[Max Occupancy]],0),ROUNDDOWN(Table2[[#This Row],[Max Occupancy]],0))</f>
        <v>4</v>
      </c>
      <c r="G20" s="26" t="s">
        <v>42</v>
      </c>
      <c r="H20" s="27">
        <v>23.08</v>
      </c>
      <c r="I20">
        <f>Table5[[#This Row],[Area(m2)]]*10.7639</f>
        <v>248.43081199999997</v>
      </c>
      <c r="J20">
        <f>Table5[[#This Row],[Area(ft2)]]*5/1000</f>
        <v>1.2421540599999998</v>
      </c>
      <c r="K20">
        <f>IF(Table5[[#This Row],[Max Occupancy]]&lt;1,ROUNDUP(Table5[[#This Row],[Max Occupancy]],0),ROUNDDOWN(Table5[[#This Row],[Max Occupancy]],0))</f>
        <v>1</v>
      </c>
    </row>
    <row r="21" spans="1:11" x14ac:dyDescent="0.5">
      <c r="A21" s="21" t="s">
        <v>43</v>
      </c>
      <c r="B21" s="22">
        <v>72.569999999999993</v>
      </c>
      <c r="C21">
        <f>Table2[[#This Row],[Area(m2)]]*10.7639</f>
        <v>781.13622299999986</v>
      </c>
      <c r="D21">
        <f>Table2[[#This Row],[Area(ft2)]]*5/1000</f>
        <v>3.9056811149999993</v>
      </c>
      <c r="E21">
        <f>IF(Table2[[#This Row],[Max Occupancy]]&lt;1,ROUNDUP(Table2[[#This Row],[Max Occupancy]],0),ROUNDDOWN(Table2[[#This Row],[Max Occupancy]],0))</f>
        <v>3</v>
      </c>
      <c r="G21" s="18" t="s">
        <v>44</v>
      </c>
      <c r="H21" s="19">
        <f>SUM(H3:H20)</f>
        <v>308.05</v>
      </c>
      <c r="I21" s="19">
        <f>SUM(I3:I20)</f>
        <v>3315.8193949999991</v>
      </c>
      <c r="J21" s="19">
        <f>SUM(J3:J20)</f>
        <v>16.579096975000006</v>
      </c>
      <c r="K21" s="19">
        <f>SUM(K3:K20)</f>
        <v>18</v>
      </c>
    </row>
    <row r="22" spans="1:11" x14ac:dyDescent="0.5">
      <c r="A22" s="21" t="s">
        <v>45</v>
      </c>
      <c r="B22" s="22">
        <v>69.349999999999994</v>
      </c>
      <c r="C22">
        <f>Table2[[#This Row],[Area(m2)]]*10.7639</f>
        <v>746.47646499999996</v>
      </c>
      <c r="D22">
        <f>Table2[[#This Row],[Area(ft2)]]*5/1000</f>
        <v>3.7323823249999997</v>
      </c>
      <c r="E22">
        <f>IF(Table2[[#This Row],[Max Occupancy]]&lt;1,ROUNDUP(Table2[[#This Row],[Max Occupancy]],0),ROUNDDOWN(Table2[[#This Row],[Max Occupancy]],0))</f>
        <v>3</v>
      </c>
    </row>
    <row r="23" spans="1:11" x14ac:dyDescent="0.5">
      <c r="A23" s="21" t="s">
        <v>46</v>
      </c>
      <c r="B23" s="22">
        <v>18.39</v>
      </c>
      <c r="C23">
        <f>Table2[[#This Row],[Area(m2)]]*10.7639</f>
        <v>197.94812099999999</v>
      </c>
      <c r="D23">
        <f>Table2[[#This Row],[Area(ft2)]]*5/1000</f>
        <v>0.98974060499999994</v>
      </c>
      <c r="E23">
        <f>IF(Table2[[#This Row],[Max Occupancy]]&lt;1,ROUNDUP(Table2[[#This Row],[Max Occupancy]],0),ROUNDDOWN(Table2[[#This Row],[Max Occupancy]],0))</f>
        <v>1</v>
      </c>
    </row>
    <row r="24" spans="1:11" x14ac:dyDescent="0.5">
      <c r="A24" s="21" t="s">
        <v>47</v>
      </c>
      <c r="B24" s="22">
        <v>150.13999999999999</v>
      </c>
      <c r="C24">
        <f>Table2[[#This Row],[Area(m2)]]*10.7639</f>
        <v>1616.0919459999998</v>
      </c>
      <c r="D24">
        <f>Table2[[#This Row],[Area(ft2)]]*5/1000</f>
        <v>8.0804597299999994</v>
      </c>
      <c r="E24">
        <f>IF(Table2[[#This Row],[Max Occupancy]]&lt;1,ROUNDUP(Table2[[#This Row],[Max Occupancy]],0),ROUNDDOWN(Table2[[#This Row],[Max Occupancy]],0))</f>
        <v>8</v>
      </c>
    </row>
    <row r="25" spans="1:11" x14ac:dyDescent="0.5">
      <c r="A25" s="18" t="s">
        <v>44</v>
      </c>
      <c r="B25" s="19">
        <f>SUM(B3:B24)</f>
        <v>1039.5099999999998</v>
      </c>
      <c r="C25" s="19">
        <f>SUM(C3:C24)</f>
        <v>11189.181688999999</v>
      </c>
      <c r="D25" s="19">
        <f>SUM(D3:D24)</f>
        <v>55.945908444999993</v>
      </c>
      <c r="E25" s="19">
        <f>SUM(E3:E24)</f>
        <v>47</v>
      </c>
    </row>
    <row r="26" spans="1:11" ht="28.7" x14ac:dyDescent="0.5">
      <c r="A26" s="18" t="s">
        <v>48</v>
      </c>
      <c r="B26" s="19">
        <f>SUM(B5,B7:B8,B10)</f>
        <v>173.14</v>
      </c>
      <c r="C26" s="19">
        <f t="shared" ref="C26:E26" si="0">SUM(C5,C7:C8,C10)</f>
        <v>1863.661646</v>
      </c>
      <c r="D26" s="19">
        <f t="shared" si="0"/>
        <v>9.3183082299999995</v>
      </c>
      <c r="E26" s="19">
        <f t="shared" si="0"/>
        <v>7</v>
      </c>
    </row>
    <row r="28" spans="1:11" x14ac:dyDescent="0.5">
      <c r="A28" t="s">
        <v>49</v>
      </c>
    </row>
    <row r="29" spans="1:11" x14ac:dyDescent="0.5">
      <c r="A29" s="23" t="s">
        <v>2</v>
      </c>
      <c r="B29" s="24" t="s">
        <v>3</v>
      </c>
      <c r="C29" s="24" t="s">
        <v>4</v>
      </c>
      <c r="D29" s="24" t="s">
        <v>5</v>
      </c>
      <c r="E29" s="25" t="s">
        <v>6</v>
      </c>
    </row>
    <row r="30" spans="1:11" x14ac:dyDescent="0.5">
      <c r="A30" s="21" t="s">
        <v>50</v>
      </c>
      <c r="B30" s="22">
        <v>12.62</v>
      </c>
      <c r="C30">
        <f>Table3[[#This Row],[Area(m2)]]*10.7639</f>
        <v>135.840418</v>
      </c>
      <c r="D30">
        <f>Table3[[#This Row],[Area(ft2)]]*5/1000</f>
        <v>0.67920208999999998</v>
      </c>
      <c r="E30">
        <f>IF(Table3[[#This Row],[Max Occupancy]]&lt;1,ROUNDUP(Table3[[#This Row],[Max Occupancy]],0),ROUNDDOWN(Table3[[#This Row],[Max Occupancy]],0))</f>
        <v>1</v>
      </c>
    </row>
    <row r="31" spans="1:11" x14ac:dyDescent="0.5">
      <c r="A31" s="21" t="s">
        <v>51</v>
      </c>
      <c r="B31" s="22">
        <v>6.99</v>
      </c>
      <c r="C31">
        <f>Table3[[#This Row],[Area(m2)]]*10.7639</f>
        <v>75.239660999999998</v>
      </c>
      <c r="D31">
        <f>Table3[[#This Row],[Area(ft2)]]*5/1000</f>
        <v>0.37619830500000001</v>
      </c>
      <c r="E31">
        <f>IF(Table3[[#This Row],[Max Occupancy]]&lt;1,ROUNDUP(Table3[[#This Row],[Max Occupancy]],0),ROUNDDOWN(Table3[[#This Row],[Max Occupancy]],0))</f>
        <v>1</v>
      </c>
    </row>
    <row r="32" spans="1:11" x14ac:dyDescent="0.5">
      <c r="A32" s="21" t="s">
        <v>52</v>
      </c>
      <c r="B32" s="22">
        <v>148.41</v>
      </c>
      <c r="C32">
        <f>Table3[[#This Row],[Area(m2)]]*10.7639</f>
        <v>1597.4703989999998</v>
      </c>
      <c r="D32">
        <f>Table3[[#This Row],[Area(ft2)]]*5/1000</f>
        <v>7.9873519949999991</v>
      </c>
      <c r="E32">
        <f>IF(Table3[[#This Row],[Max Occupancy]]&lt;1,ROUNDUP(Table3[[#This Row],[Max Occupancy]],0),ROUNDDOWN(Table3[[#This Row],[Max Occupancy]],0))</f>
        <v>7</v>
      </c>
    </row>
    <row r="33" spans="1:5" x14ac:dyDescent="0.5">
      <c r="A33" s="21" t="s">
        <v>53</v>
      </c>
      <c r="B33" s="22">
        <v>8.33</v>
      </c>
      <c r="C33">
        <f>Table3[[#This Row],[Area(m2)]]*10.7639</f>
        <v>89.663286999999997</v>
      </c>
      <c r="D33">
        <f>Table3[[#This Row],[Area(ft2)]]*5/1000</f>
        <v>0.44831643499999996</v>
      </c>
      <c r="E33">
        <f>IF(Table3[[#This Row],[Max Occupancy]]&lt;1,ROUNDUP(Table3[[#This Row],[Max Occupancy]],0),ROUNDDOWN(Table3[[#This Row],[Max Occupancy]],0))</f>
        <v>1</v>
      </c>
    </row>
    <row r="34" spans="1:5" x14ac:dyDescent="0.5">
      <c r="A34" s="21" t="s">
        <v>54</v>
      </c>
      <c r="B34" s="22">
        <v>31.1</v>
      </c>
      <c r="C34">
        <f>Table3[[#This Row],[Area(m2)]]*10.7639</f>
        <v>334.75729000000001</v>
      </c>
      <c r="D34">
        <f>Table3[[#This Row],[Area(ft2)]]*5/1000</f>
        <v>1.6737864500000001</v>
      </c>
      <c r="E34">
        <f>IF(Table3[[#This Row],[Max Occupancy]]&lt;1,ROUNDUP(Table3[[#This Row],[Max Occupancy]],0),ROUNDDOWN(Table3[[#This Row],[Max Occupancy]],0))</f>
        <v>1</v>
      </c>
    </row>
    <row r="35" spans="1:5" x14ac:dyDescent="0.5">
      <c r="A35" s="21" t="s">
        <v>55</v>
      </c>
      <c r="B35" s="22">
        <v>15.28</v>
      </c>
      <c r="C35">
        <f>Table3[[#This Row],[Area(m2)]]*10.7639</f>
        <v>164.47239199999999</v>
      </c>
      <c r="D35">
        <f>Table3[[#This Row],[Area(ft2)]]*5/1000</f>
        <v>0.82236195999999995</v>
      </c>
      <c r="E35">
        <f>IF(Table3[[#This Row],[Max Occupancy]]&lt;1,ROUNDUP(Table3[[#This Row],[Max Occupancy]],0),ROUNDDOWN(Table3[[#This Row],[Max Occupancy]],0))</f>
        <v>1</v>
      </c>
    </row>
    <row r="36" spans="1:5" x14ac:dyDescent="0.5">
      <c r="A36" s="18" t="s">
        <v>44</v>
      </c>
      <c r="B36" s="19">
        <f>SUM(B30:B35)</f>
        <v>222.73</v>
      </c>
      <c r="C36" s="19">
        <f>SUM(C30:C35)</f>
        <v>2397.4434470000001</v>
      </c>
      <c r="D36" s="19">
        <f>SUM(D30:D35)</f>
        <v>11.987217234999999</v>
      </c>
      <c r="E36" s="19">
        <f>SUM(E30:E35)</f>
        <v>12</v>
      </c>
    </row>
    <row r="39" spans="1:5" x14ac:dyDescent="0.5">
      <c r="A39" t="s">
        <v>56</v>
      </c>
    </row>
    <row r="40" spans="1:5" x14ac:dyDescent="0.5">
      <c r="A40" s="23" t="s">
        <v>2</v>
      </c>
      <c r="B40" s="24" t="s">
        <v>3</v>
      </c>
      <c r="C40" s="24" t="s">
        <v>4</v>
      </c>
      <c r="D40" s="24" t="s">
        <v>5</v>
      </c>
      <c r="E40" s="25" t="s">
        <v>6</v>
      </c>
    </row>
    <row r="41" spans="1:5" x14ac:dyDescent="0.5">
      <c r="A41" s="21" t="s">
        <v>57</v>
      </c>
      <c r="B41" s="22">
        <v>103.68</v>
      </c>
      <c r="C41">
        <f>Table4[[#This Row],[Area(m2)]]*10.7639</f>
        <v>1116.001152</v>
      </c>
      <c r="D41">
        <f>Table4[[#This Row],[Area(ft2)]]*5/1000</f>
        <v>5.5800057599999997</v>
      </c>
      <c r="E41">
        <f>IF(Table4[[#This Row],[Max Occupancy]]&lt;1,ROUNDUP(Table4[[#This Row],[Max Occupancy]],0),ROUNDDOWN(Table4[[#This Row],[Max Occupancy]],0))</f>
        <v>5</v>
      </c>
    </row>
    <row r="42" spans="1:5" x14ac:dyDescent="0.5">
      <c r="A42" s="18" t="s">
        <v>44</v>
      </c>
      <c r="B42" s="19">
        <f>SUM(B41)</f>
        <v>103.68</v>
      </c>
      <c r="C42" s="19">
        <f t="shared" ref="C42:E42" si="1">SUM(C41)</f>
        <v>1116.001152</v>
      </c>
      <c r="D42" s="19">
        <f t="shared" si="1"/>
        <v>5.5800057599999997</v>
      </c>
      <c r="E42" s="19">
        <f t="shared" si="1"/>
        <v>5</v>
      </c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0634-620C-48D4-9027-A3DB48EC4AF1}">
  <dimension ref="A1:K31"/>
  <sheetViews>
    <sheetView workbookViewId="0">
      <selection activeCell="E13" sqref="E13"/>
    </sheetView>
  </sheetViews>
  <sheetFormatPr defaultRowHeight="14.35" x14ac:dyDescent="0.5"/>
  <cols>
    <col min="1" max="1" width="9.1171875" customWidth="1"/>
    <col min="2" max="2" width="10.5859375" customWidth="1"/>
    <col min="3" max="3" width="10.41015625" customWidth="1"/>
    <col min="4" max="4" width="15.87890625" customWidth="1"/>
    <col min="5" max="5" width="10.41015625" customWidth="1"/>
    <col min="7" max="7" width="9.1171875" customWidth="1"/>
    <col min="8" max="8" width="10.5859375" customWidth="1"/>
    <col min="9" max="9" width="10.41015625" customWidth="1"/>
    <col min="10" max="10" width="15.87890625" customWidth="1"/>
    <col min="11" max="11" width="10.41015625" customWidth="1"/>
  </cols>
  <sheetData>
    <row r="1" spans="1:11" x14ac:dyDescent="0.5">
      <c r="A1" s="20" t="s">
        <v>0</v>
      </c>
      <c r="B1" s="20"/>
      <c r="G1" t="s">
        <v>1</v>
      </c>
    </row>
    <row r="2" spans="1:11" x14ac:dyDescent="0.5">
      <c r="A2" s="20" t="s">
        <v>2</v>
      </c>
      <c r="B2" s="20" t="s">
        <v>3</v>
      </c>
      <c r="C2" t="s">
        <v>4</v>
      </c>
      <c r="D2" t="s">
        <v>5</v>
      </c>
      <c r="E2" t="s">
        <v>6</v>
      </c>
      <c r="G2" s="23" t="s">
        <v>2</v>
      </c>
      <c r="H2" s="24" t="s">
        <v>3</v>
      </c>
      <c r="I2" s="24" t="s">
        <v>4</v>
      </c>
      <c r="J2" s="24" t="s">
        <v>5</v>
      </c>
      <c r="K2" s="25" t="s">
        <v>6</v>
      </c>
    </row>
    <row r="3" spans="1:11" x14ac:dyDescent="0.5">
      <c r="A3" t="s">
        <v>58</v>
      </c>
      <c r="B3">
        <v>20.05</v>
      </c>
      <c r="C3">
        <f>Table7[[#This Row],[Area(m2)]]*10.7639</f>
        <v>215.81619499999999</v>
      </c>
      <c r="D3">
        <f>Table7[[#This Row],[Area(ft2)]]*5/1000</f>
        <v>1.0790809749999999</v>
      </c>
      <c r="E3">
        <f>IF(Table7[[#This Row],[Max Occupancy]]&lt;1,ROUNDUP(Table7[[#This Row],[Max Occupancy]],0),ROUNDDOWN(Table7[[#This Row],[Max Occupancy]],0))</f>
        <v>1</v>
      </c>
      <c r="G3" t="s">
        <v>59</v>
      </c>
      <c r="H3">
        <v>61.24</v>
      </c>
      <c r="I3">
        <f>Table6[[#This Row],[Area(m2)]]*10.7639</f>
        <v>659.18123600000001</v>
      </c>
      <c r="J3">
        <f>Table6[[#This Row],[Area(ft2)]]*5/1000</f>
        <v>3.2959061799999998</v>
      </c>
      <c r="K3">
        <f>IF(Table6[[#This Row],[Max Occupancy]]&lt;1,ROUNDUP(Table6[[#This Row],[Max Occupancy]],0),ROUNDDOWN(Table6[[#This Row],[Max Occupancy]],0))</f>
        <v>3</v>
      </c>
    </row>
    <row r="4" spans="1:11" x14ac:dyDescent="0.5">
      <c r="A4" t="s">
        <v>60</v>
      </c>
      <c r="B4">
        <v>23.67</v>
      </c>
      <c r="C4">
        <f>Table7[[#This Row],[Area(m2)]]*10.7639</f>
        <v>254.78151300000002</v>
      </c>
      <c r="D4">
        <f>Table7[[#This Row],[Area(ft2)]]*5/1000</f>
        <v>1.273907565</v>
      </c>
      <c r="E4">
        <f>IF(Table7[[#This Row],[Max Occupancy]]&lt;1,ROUNDUP(Table7[[#This Row],[Max Occupancy]],0),ROUNDDOWN(Table7[[#This Row],[Max Occupancy]],0))</f>
        <v>1</v>
      </c>
      <c r="G4" t="s">
        <v>61</v>
      </c>
      <c r="H4">
        <v>1.33</v>
      </c>
      <c r="I4">
        <f>Table6[[#This Row],[Area(m2)]]*10.7639</f>
        <v>14.315987</v>
      </c>
      <c r="J4">
        <f>Table6[[#This Row],[Area(ft2)]]*5/1000</f>
        <v>7.1579935000000011E-2</v>
      </c>
      <c r="K4">
        <f>IF(Table6[[#This Row],[Max Occupancy]]&lt;1,ROUNDUP(Table6[[#This Row],[Max Occupancy]],0),ROUNDDOWN(Table6[[#This Row],[Max Occupancy]],0))</f>
        <v>1</v>
      </c>
    </row>
    <row r="5" spans="1:11" x14ac:dyDescent="0.5">
      <c r="A5" t="s">
        <v>62</v>
      </c>
      <c r="B5">
        <v>23.67</v>
      </c>
      <c r="C5">
        <f>Table7[[#This Row],[Area(m2)]]*10.7639</f>
        <v>254.78151300000002</v>
      </c>
      <c r="D5">
        <f>Table7[[#This Row],[Area(ft2)]]*5/1000</f>
        <v>1.273907565</v>
      </c>
      <c r="E5">
        <f>IF(Table7[[#This Row],[Max Occupancy]]&lt;1,ROUNDUP(Table7[[#This Row],[Max Occupancy]],0),ROUNDDOWN(Table7[[#This Row],[Max Occupancy]],0))</f>
        <v>1</v>
      </c>
      <c r="G5" t="s">
        <v>63</v>
      </c>
      <c r="H5">
        <v>9.4700000000000006</v>
      </c>
      <c r="I5">
        <f>Table6[[#This Row],[Area(m2)]]*10.7639</f>
        <v>101.934133</v>
      </c>
      <c r="J5">
        <f>Table6[[#This Row],[Area(ft2)]]*5/1000</f>
        <v>0.50967066500000002</v>
      </c>
      <c r="K5">
        <f>IF(Table6[[#This Row],[Max Occupancy]]&lt;1,ROUNDUP(Table6[[#This Row],[Max Occupancy]],0),ROUNDDOWN(Table6[[#This Row],[Max Occupancy]],0))</f>
        <v>1</v>
      </c>
    </row>
    <row r="6" spans="1:11" x14ac:dyDescent="0.5">
      <c r="A6" t="s">
        <v>64</v>
      </c>
      <c r="B6">
        <v>12.06</v>
      </c>
      <c r="C6">
        <f>Table7[[#This Row],[Area(m2)]]*10.7639</f>
        <v>129.812634</v>
      </c>
      <c r="D6">
        <f>Table7[[#This Row],[Area(ft2)]]*5/1000</f>
        <v>0.64906317000000002</v>
      </c>
      <c r="E6">
        <f>IF(Table7[[#This Row],[Max Occupancy]]&lt;1,ROUNDUP(Table7[[#This Row],[Max Occupancy]],0),ROUNDDOWN(Table7[[#This Row],[Max Occupancy]],0))</f>
        <v>1</v>
      </c>
      <c r="G6" t="s">
        <v>65</v>
      </c>
      <c r="H6">
        <v>12.55</v>
      </c>
      <c r="I6">
        <f>Table6[[#This Row],[Area(m2)]]*10.7639</f>
        <v>135.08694500000001</v>
      </c>
      <c r="J6">
        <f>Table6[[#This Row],[Area(ft2)]]*5/1000</f>
        <v>0.67543472500000012</v>
      </c>
      <c r="K6">
        <f>IF(Table6[[#This Row],[Max Occupancy]]&lt;1,ROUNDUP(Table6[[#This Row],[Max Occupancy]],0),ROUNDDOWN(Table6[[#This Row],[Max Occupancy]],0))</f>
        <v>1</v>
      </c>
    </row>
    <row r="7" spans="1:11" x14ac:dyDescent="0.5">
      <c r="A7" t="s">
        <v>66</v>
      </c>
      <c r="B7">
        <v>33.729999999999997</v>
      </c>
      <c r="C7">
        <f>Table7[[#This Row],[Area(m2)]]*10.7639</f>
        <v>363.06634699999995</v>
      </c>
      <c r="D7">
        <f>Table7[[#This Row],[Area(ft2)]]*5/1000</f>
        <v>1.8153317349999998</v>
      </c>
      <c r="E7">
        <f>IF(Table7[[#This Row],[Max Occupancy]]&lt;1,ROUNDUP(Table7[[#This Row],[Max Occupancy]],0),ROUNDDOWN(Table7[[#This Row],[Max Occupancy]],0))</f>
        <v>1</v>
      </c>
      <c r="G7" t="s">
        <v>67</v>
      </c>
      <c r="H7">
        <v>12.41</v>
      </c>
      <c r="I7">
        <f>Table6[[#This Row],[Area(m2)]]*10.7639</f>
        <v>133.57999899999999</v>
      </c>
      <c r="J7">
        <f>Table6[[#This Row],[Area(ft2)]]*5/1000</f>
        <v>0.66789999499999997</v>
      </c>
      <c r="K7">
        <f>IF(Table6[[#This Row],[Max Occupancy]]&lt;1,ROUNDUP(Table6[[#This Row],[Max Occupancy]],0),ROUNDDOWN(Table6[[#This Row],[Max Occupancy]],0))</f>
        <v>1</v>
      </c>
    </row>
    <row r="8" spans="1:11" x14ac:dyDescent="0.5">
      <c r="A8" t="s">
        <v>68</v>
      </c>
      <c r="B8">
        <v>30.75</v>
      </c>
      <c r="C8">
        <f>Table7[[#This Row],[Area(m2)]]*10.7639</f>
        <v>330.98992499999997</v>
      </c>
      <c r="D8">
        <f>Table7[[#This Row],[Area(ft2)]]*5/1000</f>
        <v>1.6549496249999998</v>
      </c>
      <c r="E8">
        <f>IF(Table7[[#This Row],[Max Occupancy]]&lt;1,ROUNDUP(Table7[[#This Row],[Max Occupancy]],0),ROUNDDOWN(Table7[[#This Row],[Max Occupancy]],0))</f>
        <v>1</v>
      </c>
      <c r="G8" t="s">
        <v>69</v>
      </c>
      <c r="H8">
        <v>43.65</v>
      </c>
      <c r="I8">
        <f>Table6[[#This Row],[Area(m2)]]*10.7639</f>
        <v>469.84423499999997</v>
      </c>
      <c r="J8">
        <f>Table6[[#This Row],[Area(ft2)]]*5/1000</f>
        <v>2.3492211749999998</v>
      </c>
      <c r="K8">
        <f>IF(Table6[[#This Row],[Max Occupancy]]&lt;1,ROUNDUP(Table6[[#This Row],[Max Occupancy]],0),ROUNDDOWN(Table6[[#This Row],[Max Occupancy]],0))</f>
        <v>2</v>
      </c>
    </row>
    <row r="9" spans="1:11" x14ac:dyDescent="0.5">
      <c r="A9" s="34" t="s">
        <v>70</v>
      </c>
      <c r="B9" s="34">
        <v>23.6</v>
      </c>
      <c r="C9" s="34">
        <f>Table7[[#This Row],[Area(m2)]]*10.7639</f>
        <v>254.02804</v>
      </c>
      <c r="D9" s="34">
        <f>Table7[[#This Row],[Area(ft2)]]*5/1000</f>
        <v>1.2701401999999999</v>
      </c>
      <c r="E9" s="34">
        <f>IF(Table7[[#This Row],[Max Occupancy]]&lt;1,ROUNDUP(Table7[[#This Row],[Max Occupancy]],0),ROUNDDOWN(Table7[[#This Row],[Max Occupancy]],0))</f>
        <v>1</v>
      </c>
      <c r="G9" t="s">
        <v>71</v>
      </c>
      <c r="H9">
        <v>22.86</v>
      </c>
      <c r="I9">
        <f>Table6[[#This Row],[Area(m2)]]*10.7639</f>
        <v>246.06275399999998</v>
      </c>
      <c r="J9">
        <f>Table6[[#This Row],[Area(ft2)]]*5/1000</f>
        <v>1.23031377</v>
      </c>
      <c r="K9">
        <f>IF(Table6[[#This Row],[Max Occupancy]]&lt;1,ROUNDUP(Table6[[#This Row],[Max Occupancy]],0),ROUNDDOWN(Table6[[#This Row],[Max Occupancy]],0))</f>
        <v>1</v>
      </c>
    </row>
    <row r="10" spans="1:11" x14ac:dyDescent="0.5">
      <c r="A10" t="s">
        <v>72</v>
      </c>
      <c r="B10">
        <v>65.67</v>
      </c>
      <c r="C10">
        <f>Table7[[#This Row],[Area(m2)]]*10.7639</f>
        <v>706.86531300000001</v>
      </c>
      <c r="D10">
        <f>Table7[[#This Row],[Area(ft2)]]*5/1000</f>
        <v>3.5343265650000002</v>
      </c>
      <c r="E10">
        <f>IF(Table7[[#This Row],[Max Occupancy]]&lt;1,ROUNDUP(Table7[[#This Row],[Max Occupancy]],0),ROUNDDOWN(Table7[[#This Row],[Max Occupancy]],0))</f>
        <v>3</v>
      </c>
      <c r="G10" t="s">
        <v>73</v>
      </c>
      <c r="H10">
        <v>18.97</v>
      </c>
      <c r="I10">
        <f>Table6[[#This Row],[Area(m2)]]*10.7639</f>
        <v>204.19118299999997</v>
      </c>
      <c r="J10">
        <f>Table6[[#This Row],[Area(ft2)]]*5/1000</f>
        <v>1.0209559149999998</v>
      </c>
      <c r="K10">
        <f>IF(Table6[[#This Row],[Max Occupancy]]&lt;1,ROUNDUP(Table6[[#This Row],[Max Occupancy]],0),ROUNDDOWN(Table6[[#This Row],[Max Occupancy]],0))</f>
        <v>1</v>
      </c>
    </row>
    <row r="11" spans="1:11" x14ac:dyDescent="0.5">
      <c r="A11" s="28" t="s">
        <v>44</v>
      </c>
      <c r="B11" s="28">
        <f>SUM(B3:B10)</f>
        <v>233.2</v>
      </c>
      <c r="C11" s="28">
        <f>SUM(C3:C10)</f>
        <v>2510.1414799999998</v>
      </c>
      <c r="D11" s="28">
        <f>SUM(D3:D10)</f>
        <v>12.5507074</v>
      </c>
      <c r="E11" s="28">
        <f>SUM(E3:E10)</f>
        <v>10</v>
      </c>
      <c r="G11" t="s">
        <v>74</v>
      </c>
      <c r="H11">
        <v>15.1</v>
      </c>
      <c r="I11">
        <f>Table6[[#This Row],[Area(m2)]]*10.7639</f>
        <v>162.53488999999999</v>
      </c>
      <c r="J11">
        <f>Table6[[#This Row],[Area(ft2)]]*5/1000</f>
        <v>0.81267444999999994</v>
      </c>
      <c r="K11">
        <f>IF(Table6[[#This Row],[Max Occupancy]]&lt;1,ROUNDUP(Table6[[#This Row],[Max Occupancy]],0),ROUNDDOWN(Table6[[#This Row],[Max Occupancy]],0))</f>
        <v>1</v>
      </c>
    </row>
    <row r="12" spans="1:11" x14ac:dyDescent="0.5">
      <c r="A12" s="28" t="s">
        <v>48</v>
      </c>
      <c r="B12" s="28">
        <f>SUM(B9)</f>
        <v>23.6</v>
      </c>
      <c r="C12" s="28">
        <f t="shared" ref="C12:E12" si="0">SUM(C9)</f>
        <v>254.02804</v>
      </c>
      <c r="D12" s="28">
        <f t="shared" si="0"/>
        <v>1.2701401999999999</v>
      </c>
      <c r="E12" s="28">
        <f t="shared" si="0"/>
        <v>1</v>
      </c>
      <c r="G12" t="s">
        <v>75</v>
      </c>
      <c r="H12">
        <v>16.309999999999999</v>
      </c>
      <c r="I12">
        <f>Table6[[#This Row],[Area(m2)]]*10.7639</f>
        <v>175.55920899999998</v>
      </c>
      <c r="J12">
        <f>Table6[[#This Row],[Area(ft2)]]*5/1000</f>
        <v>0.87779604499999997</v>
      </c>
      <c r="K12">
        <f>IF(Table6[[#This Row],[Max Occupancy]]&lt;1,ROUNDUP(Table6[[#This Row],[Max Occupancy]],0),ROUNDDOWN(Table6[[#This Row],[Max Occupancy]],0))</f>
        <v>1</v>
      </c>
    </row>
    <row r="13" spans="1:11" x14ac:dyDescent="0.5">
      <c r="G13" t="s">
        <v>76</v>
      </c>
      <c r="H13">
        <v>16.32</v>
      </c>
      <c r="I13">
        <f>Table6[[#This Row],[Area(m2)]]*10.7639</f>
        <v>175.66684799999999</v>
      </c>
      <c r="J13">
        <f>Table6[[#This Row],[Area(ft2)]]*5/1000</f>
        <v>0.87833423999999993</v>
      </c>
      <c r="K13">
        <f>IF(Table6[[#This Row],[Max Occupancy]]&lt;1,ROUNDUP(Table6[[#This Row],[Max Occupancy]],0),ROUNDDOWN(Table6[[#This Row],[Max Occupancy]],0))</f>
        <v>1</v>
      </c>
    </row>
    <row r="14" spans="1:11" x14ac:dyDescent="0.5">
      <c r="A14" t="s">
        <v>49</v>
      </c>
      <c r="G14" t="s">
        <v>77</v>
      </c>
      <c r="H14">
        <v>15.1</v>
      </c>
      <c r="I14">
        <f>Table6[[#This Row],[Area(m2)]]*10.7639</f>
        <v>162.53488999999999</v>
      </c>
      <c r="J14">
        <f>Table6[[#This Row],[Area(ft2)]]*5/1000</f>
        <v>0.81267444999999994</v>
      </c>
      <c r="K14">
        <f>IF(Table6[[#This Row],[Max Occupancy]]&lt;1,ROUNDUP(Table6[[#This Row],[Max Occupancy]],0),ROUNDDOWN(Table6[[#This Row],[Max Occupancy]],0))</f>
        <v>1</v>
      </c>
    </row>
    <row r="15" spans="1:11" x14ac:dyDescent="0.5">
      <c r="A15" s="23" t="s">
        <v>2</v>
      </c>
      <c r="B15" s="24" t="s">
        <v>3</v>
      </c>
      <c r="C15" s="24" t="s">
        <v>4</v>
      </c>
      <c r="D15" s="24" t="s">
        <v>5</v>
      </c>
      <c r="E15" s="25" t="s">
        <v>6</v>
      </c>
      <c r="G15" t="s">
        <v>78</v>
      </c>
      <c r="H15">
        <v>7.08</v>
      </c>
      <c r="I15">
        <f>Table6[[#This Row],[Area(m2)]]*10.7639</f>
        <v>76.208411999999996</v>
      </c>
      <c r="J15">
        <f>Table6[[#This Row],[Area(ft2)]]*5/1000</f>
        <v>0.38104206000000002</v>
      </c>
      <c r="K15">
        <f>IF(Table6[[#This Row],[Max Occupancy]]&lt;1,ROUNDUP(Table6[[#This Row],[Max Occupancy]],0),ROUNDDOWN(Table6[[#This Row],[Max Occupancy]],0))</f>
        <v>1</v>
      </c>
    </row>
    <row r="16" spans="1:11" x14ac:dyDescent="0.5">
      <c r="A16" t="s">
        <v>79</v>
      </c>
      <c r="B16">
        <v>16.82</v>
      </c>
      <c r="C16">
        <f>Table8[[#This Row],[Area(m2)]]*10.7639</f>
        <v>181.04879800000001</v>
      </c>
      <c r="D16">
        <f>Table8[[#This Row],[Area(ft2)]]*5/1000</f>
        <v>0.90524399</v>
      </c>
      <c r="E16">
        <f>IF(Table8[[#This Row],[Max Occupancy]]&lt;1,ROUNDUP(Table8[[#This Row],[Max Occupancy]],0),ROUNDDOWN(Table8[[#This Row],[Max Occupancy]],0))</f>
        <v>1</v>
      </c>
      <c r="G16" t="s">
        <v>80</v>
      </c>
      <c r="H16">
        <v>14.3</v>
      </c>
      <c r="I16">
        <f>Table6[[#This Row],[Area(m2)]]*10.7639</f>
        <v>153.92376999999999</v>
      </c>
      <c r="J16">
        <f>Table6[[#This Row],[Area(ft2)]]*5/1000</f>
        <v>0.76961884999999997</v>
      </c>
      <c r="K16">
        <f>IF(Table6[[#This Row],[Max Occupancy]]&lt;1,ROUNDUP(Table6[[#This Row],[Max Occupancy]],0),ROUNDDOWN(Table6[[#This Row],[Max Occupancy]],0))</f>
        <v>1</v>
      </c>
    </row>
    <row r="17" spans="1:11" x14ac:dyDescent="0.5">
      <c r="A17" s="28" t="s">
        <v>44</v>
      </c>
      <c r="B17" s="28">
        <f>B16</f>
        <v>16.82</v>
      </c>
      <c r="C17" s="28">
        <f t="shared" ref="C17:E17" si="1">C16</f>
        <v>181.04879800000001</v>
      </c>
      <c r="D17" s="28">
        <f t="shared" si="1"/>
        <v>0.90524399</v>
      </c>
      <c r="E17" s="28">
        <f t="shared" si="1"/>
        <v>1</v>
      </c>
      <c r="G17" t="s">
        <v>81</v>
      </c>
      <c r="H17">
        <v>13.87</v>
      </c>
      <c r="I17">
        <f>Table6[[#This Row],[Area(m2)]]*10.7639</f>
        <v>149.29529299999999</v>
      </c>
      <c r="J17">
        <f>Table6[[#This Row],[Area(ft2)]]*5/1000</f>
        <v>0.74647646499999998</v>
      </c>
      <c r="K17">
        <f>IF(Table6[[#This Row],[Max Occupancy]]&lt;1,ROUNDUP(Table6[[#This Row],[Max Occupancy]],0),ROUNDDOWN(Table6[[#This Row],[Max Occupancy]],0))</f>
        <v>1</v>
      </c>
    </row>
    <row r="18" spans="1:11" x14ac:dyDescent="0.5">
      <c r="G18" t="s">
        <v>82</v>
      </c>
      <c r="H18">
        <v>13.87</v>
      </c>
      <c r="I18">
        <f>Table6[[#This Row],[Area(m2)]]*10.7639</f>
        <v>149.29529299999999</v>
      </c>
      <c r="J18">
        <f>Table6[[#This Row],[Area(ft2)]]*5/1000</f>
        <v>0.74647646499999998</v>
      </c>
      <c r="K18">
        <f>IF(Table6[[#This Row],[Max Occupancy]]&lt;1,ROUNDUP(Table6[[#This Row],[Max Occupancy]],0),ROUNDDOWN(Table6[[#This Row],[Max Occupancy]],0))</f>
        <v>1</v>
      </c>
    </row>
    <row r="19" spans="1:11" x14ac:dyDescent="0.5">
      <c r="G19" t="s">
        <v>83</v>
      </c>
      <c r="H19">
        <v>61.38</v>
      </c>
      <c r="I19">
        <f>Table6[[#This Row],[Area(m2)]]*10.7639</f>
        <v>660.68818199999998</v>
      </c>
      <c r="J19">
        <f>Table6[[#This Row],[Area(ft2)]]*5/1000</f>
        <v>3.30344091</v>
      </c>
      <c r="K19">
        <f>IF(Table6[[#This Row],[Max Occupancy]]&lt;1,ROUNDUP(Table6[[#This Row],[Max Occupancy]],0),ROUNDDOWN(Table6[[#This Row],[Max Occupancy]],0))</f>
        <v>3</v>
      </c>
    </row>
    <row r="20" spans="1:11" x14ac:dyDescent="0.5">
      <c r="A20" t="s">
        <v>84</v>
      </c>
      <c r="G20" t="s">
        <v>85</v>
      </c>
      <c r="H20">
        <v>9</v>
      </c>
      <c r="I20">
        <f>Table6[[#This Row],[Area(m2)]]*10.7639</f>
        <v>96.875100000000003</v>
      </c>
      <c r="J20">
        <f>Table6[[#This Row],[Area(ft2)]]*5/1000</f>
        <v>0.48437550000000001</v>
      </c>
      <c r="K20">
        <f>IF(Table6[[#This Row],[Max Occupancy]]&lt;1,ROUNDUP(Table6[[#This Row],[Max Occupancy]],0),ROUNDDOWN(Table6[[#This Row],[Max Occupancy]],0))</f>
        <v>1</v>
      </c>
    </row>
    <row r="21" spans="1:11" x14ac:dyDescent="0.5">
      <c r="A21" s="23" t="s">
        <v>2</v>
      </c>
      <c r="B21" s="24" t="s">
        <v>3</v>
      </c>
      <c r="C21" s="24" t="s">
        <v>4</v>
      </c>
      <c r="D21" s="24" t="s">
        <v>5</v>
      </c>
      <c r="E21" s="25" t="s">
        <v>6</v>
      </c>
      <c r="G21" t="s">
        <v>86</v>
      </c>
      <c r="H21">
        <v>11.96</v>
      </c>
      <c r="I21">
        <f>Table6[[#This Row],[Area(m2)]]*10.7639</f>
        <v>128.736244</v>
      </c>
      <c r="J21">
        <f>Table6[[#This Row],[Area(ft2)]]*5/1000</f>
        <v>0.64368121999999994</v>
      </c>
      <c r="K21">
        <f>IF(Table6[[#This Row],[Max Occupancy]]&lt;1,ROUNDUP(Table6[[#This Row],[Max Occupancy]],0),ROUNDDOWN(Table6[[#This Row],[Max Occupancy]],0))</f>
        <v>1</v>
      </c>
    </row>
    <row r="22" spans="1:11" x14ac:dyDescent="0.5">
      <c r="A22" t="s">
        <v>87</v>
      </c>
      <c r="B22">
        <v>123.68</v>
      </c>
      <c r="C22">
        <f>Table9[[#This Row],[Area(m2)]]*10.7639</f>
        <v>1331.2791520000001</v>
      </c>
      <c r="D22">
        <f>Table9[[#This Row],[Area(ft2)]]*5/1000</f>
        <v>6.6563957600000005</v>
      </c>
      <c r="E22">
        <f>IF(Table9[[#This Row],[Max Occupancy]]&lt;1,ROUNDUP(Table9[[#This Row],[Max Occupancy]],0),ROUNDDOWN(Table9[[#This Row],[Max Occupancy]],0))</f>
        <v>6</v>
      </c>
      <c r="G22" t="s">
        <v>88</v>
      </c>
      <c r="H22">
        <v>13.29</v>
      </c>
      <c r="I22">
        <f>Table6[[#This Row],[Area(m2)]]*10.7639</f>
        <v>143.05223099999998</v>
      </c>
      <c r="J22">
        <f>Table6[[#This Row],[Area(ft2)]]*5/1000</f>
        <v>0.71526115499999987</v>
      </c>
      <c r="K22">
        <f>IF(Table6[[#This Row],[Max Occupancy]]&lt;1,ROUNDUP(Table6[[#This Row],[Max Occupancy]],0),ROUNDDOWN(Table6[[#This Row],[Max Occupancy]],0))</f>
        <v>1</v>
      </c>
    </row>
    <row r="23" spans="1:11" x14ac:dyDescent="0.5">
      <c r="A23" t="s">
        <v>89</v>
      </c>
      <c r="B23">
        <v>24.37</v>
      </c>
      <c r="C23">
        <f>Table9[[#This Row],[Area(m2)]]*10.7639</f>
        <v>262.31624299999999</v>
      </c>
      <c r="D23">
        <f>Table9[[#This Row],[Area(ft2)]]*5/1000</f>
        <v>1.3115812149999999</v>
      </c>
      <c r="E23">
        <f>IF(Table9[[#This Row],[Max Occupancy]]&lt;1,ROUNDUP(Table9[[#This Row],[Max Occupancy]],0),ROUNDDOWN(Table9[[#This Row],[Max Occupancy]],0))</f>
        <v>1</v>
      </c>
      <c r="G23" t="s">
        <v>90</v>
      </c>
      <c r="H23">
        <v>14.54</v>
      </c>
      <c r="I23">
        <f>Table6[[#This Row],[Area(m2)]]*10.7639</f>
        <v>156.50710599999999</v>
      </c>
      <c r="J23">
        <f>Table6[[#This Row],[Area(ft2)]]*5/1000</f>
        <v>0.78253552999999998</v>
      </c>
      <c r="K23">
        <f>IF(Table6[[#This Row],[Max Occupancy]]&lt;1,ROUNDUP(Table6[[#This Row],[Max Occupancy]],0),ROUNDDOWN(Table6[[#This Row],[Max Occupancy]],0))</f>
        <v>1</v>
      </c>
    </row>
    <row r="24" spans="1:11" x14ac:dyDescent="0.5">
      <c r="A24" t="s">
        <v>91</v>
      </c>
      <c r="B24">
        <v>9.4700000000000006</v>
      </c>
      <c r="C24">
        <f>Table9[[#This Row],[Area(m2)]]*10.7639</f>
        <v>101.934133</v>
      </c>
      <c r="D24">
        <f>Table9[[#This Row],[Area(ft2)]]*5/1000</f>
        <v>0.50967066500000002</v>
      </c>
      <c r="E24">
        <f>IF(Table9[[#This Row],[Max Occupancy]]&lt;1,ROUNDUP(Table9[[#This Row],[Max Occupancy]],0),ROUNDDOWN(Table9[[#This Row],[Max Occupancy]],0))</f>
        <v>1</v>
      </c>
      <c r="G24" t="s">
        <v>92</v>
      </c>
      <c r="H24">
        <v>14.79</v>
      </c>
      <c r="I24">
        <f>Table6[[#This Row],[Area(m2)]]*10.7639</f>
        <v>159.19808099999997</v>
      </c>
      <c r="J24">
        <f>Table6[[#This Row],[Area(ft2)]]*5/1000</f>
        <v>0.79599040499999985</v>
      </c>
      <c r="K24">
        <f>IF(Table6[[#This Row],[Max Occupancy]]&lt;1,ROUNDUP(Table6[[#This Row],[Max Occupancy]],0),ROUNDDOWN(Table6[[#This Row],[Max Occupancy]],0))</f>
        <v>1</v>
      </c>
    </row>
    <row r="25" spans="1:11" x14ac:dyDescent="0.5">
      <c r="A25" t="s">
        <v>93</v>
      </c>
      <c r="B25">
        <v>13.68</v>
      </c>
      <c r="C25">
        <f>Table9[[#This Row],[Area(m2)]]*10.7639</f>
        <v>147.25015199999999</v>
      </c>
      <c r="D25">
        <f>Table9[[#This Row],[Area(ft2)]]*5/1000</f>
        <v>0.73625075999999989</v>
      </c>
      <c r="E25">
        <f>IF(Table9[[#This Row],[Max Occupancy]]&lt;1,ROUNDUP(Table9[[#This Row],[Max Occupancy]],0),ROUNDDOWN(Table9[[#This Row],[Max Occupancy]],0))</f>
        <v>1</v>
      </c>
      <c r="G25" t="s">
        <v>94</v>
      </c>
      <c r="H25">
        <v>14.46</v>
      </c>
      <c r="I25">
        <f>Table6[[#This Row],[Area(m2)]]*10.7639</f>
        <v>155.645994</v>
      </c>
      <c r="J25">
        <f>Table6[[#This Row],[Area(ft2)]]*5/1000</f>
        <v>0.77822996999999994</v>
      </c>
      <c r="K25">
        <f>IF(Table6[[#This Row],[Max Occupancy]]&lt;1,ROUNDUP(Table6[[#This Row],[Max Occupancy]],0),ROUNDDOWN(Table6[[#This Row],[Max Occupancy]],0))</f>
        <v>1</v>
      </c>
    </row>
    <row r="26" spans="1:11" x14ac:dyDescent="0.5">
      <c r="A26" t="s">
        <v>95</v>
      </c>
      <c r="B26">
        <v>9.4700000000000006</v>
      </c>
      <c r="C26">
        <f>Table9[[#This Row],[Area(m2)]]*10.7639</f>
        <v>101.934133</v>
      </c>
      <c r="D26">
        <f>Table9[[#This Row],[Area(ft2)]]*5/1000</f>
        <v>0.50967066500000002</v>
      </c>
      <c r="E26">
        <f>IF(Table9[[#This Row],[Max Occupancy]]&lt;1,ROUNDUP(Table9[[#This Row],[Max Occupancy]],0),ROUNDDOWN(Table9[[#This Row],[Max Occupancy]],0))</f>
        <v>1</v>
      </c>
      <c r="G26" t="s">
        <v>96</v>
      </c>
      <c r="H26">
        <v>14.46</v>
      </c>
      <c r="I26">
        <f>Table6[[#This Row],[Area(m2)]]*10.7639</f>
        <v>155.645994</v>
      </c>
      <c r="J26">
        <f>Table6[[#This Row],[Area(ft2)]]*5/1000</f>
        <v>0.77822996999999994</v>
      </c>
      <c r="K26">
        <f>IF(Table6[[#This Row],[Max Occupancy]]&lt;1,ROUNDUP(Table6[[#This Row],[Max Occupancy]],0),ROUNDDOWN(Table6[[#This Row],[Max Occupancy]],0))</f>
        <v>1</v>
      </c>
    </row>
    <row r="27" spans="1:11" x14ac:dyDescent="0.5">
      <c r="A27" t="s">
        <v>97</v>
      </c>
      <c r="B27">
        <v>21.64</v>
      </c>
      <c r="C27">
        <f>Table9[[#This Row],[Area(m2)]]*10.7639</f>
        <v>232.93079599999999</v>
      </c>
      <c r="D27">
        <f>Table9[[#This Row],[Area(ft2)]]*5/1000</f>
        <v>1.16465398</v>
      </c>
      <c r="E27">
        <f>IF(Table9[[#This Row],[Max Occupancy]]&lt;1,ROUNDUP(Table9[[#This Row],[Max Occupancy]],0),ROUNDDOWN(Table9[[#This Row],[Max Occupancy]],0))</f>
        <v>1</v>
      </c>
      <c r="G27" t="s">
        <v>98</v>
      </c>
      <c r="H27">
        <v>14.46</v>
      </c>
      <c r="I27">
        <f>Table6[[#This Row],[Area(m2)]]*10.7639</f>
        <v>155.645994</v>
      </c>
      <c r="J27">
        <f>Table6[[#This Row],[Area(ft2)]]*5/1000</f>
        <v>0.77822996999999994</v>
      </c>
      <c r="K27">
        <f>IF(Table6[[#This Row],[Max Occupancy]]&lt;1,ROUNDUP(Table6[[#This Row],[Max Occupancy]],0),ROUNDDOWN(Table6[[#This Row],[Max Occupancy]],0))</f>
        <v>1</v>
      </c>
    </row>
    <row r="28" spans="1:11" x14ac:dyDescent="0.5">
      <c r="A28" t="s">
        <v>99</v>
      </c>
      <c r="B28">
        <v>3.99</v>
      </c>
      <c r="C28">
        <f>Table9[[#This Row],[Area(m2)]]*10.7639</f>
        <v>42.947960999999999</v>
      </c>
      <c r="D28">
        <f>Table9[[#This Row],[Area(ft2)]]*5/1000</f>
        <v>0.21473980499999998</v>
      </c>
      <c r="E28">
        <f>IF(Table9[[#This Row],[Max Occupancy]]&lt;1,ROUNDUP(Table9[[#This Row],[Max Occupancy]],0),ROUNDDOWN(Table9[[#This Row],[Max Occupancy]],0))</f>
        <v>1</v>
      </c>
      <c r="G28" t="s">
        <v>100</v>
      </c>
      <c r="H28">
        <v>14.46</v>
      </c>
      <c r="I28">
        <f>Table6[[#This Row],[Area(m2)]]*10.7639</f>
        <v>155.645994</v>
      </c>
      <c r="J28">
        <f>Table6[[#This Row],[Area(ft2)]]*5/1000</f>
        <v>0.77822996999999994</v>
      </c>
      <c r="K28">
        <f>IF(Table6[[#This Row],[Max Occupancy]]&lt;1,ROUNDUP(Table6[[#This Row],[Max Occupancy]],0),ROUNDDOWN(Table6[[#This Row],[Max Occupancy]],0))</f>
        <v>1</v>
      </c>
    </row>
    <row r="29" spans="1:11" x14ac:dyDescent="0.5">
      <c r="A29" t="s">
        <v>101</v>
      </c>
      <c r="B29">
        <v>4.59</v>
      </c>
      <c r="C29">
        <f>Table9[[#This Row],[Area(m2)]]*10.7639</f>
        <v>49.406300999999999</v>
      </c>
      <c r="D29">
        <f>Table9[[#This Row],[Area(ft2)]]*5/1000</f>
        <v>0.24703150499999998</v>
      </c>
      <c r="E29">
        <f>IF(Table9[[#This Row],[Max Occupancy]]&lt;1,ROUNDUP(Table9[[#This Row],[Max Occupancy]],0),ROUNDDOWN(Table9[[#This Row],[Max Occupancy]],0))</f>
        <v>1</v>
      </c>
      <c r="G29" t="s">
        <v>102</v>
      </c>
      <c r="H29">
        <v>14.78</v>
      </c>
      <c r="I29">
        <f>Table6[[#This Row],[Area(m2)]]*10.7639</f>
        <v>159.090442</v>
      </c>
      <c r="J29">
        <f>Table6[[#This Row],[Area(ft2)]]*5/1000</f>
        <v>0.79545220999999988</v>
      </c>
      <c r="K29">
        <f>IF(Table6[[#This Row],[Max Occupancy]]&lt;1,ROUNDUP(Table6[[#This Row],[Max Occupancy]],0),ROUNDDOWN(Table6[[#This Row],[Max Occupancy]],0))</f>
        <v>1</v>
      </c>
    </row>
    <row r="30" spans="1:11" x14ac:dyDescent="0.5">
      <c r="A30" s="28" t="s">
        <v>44</v>
      </c>
      <c r="B30" s="28">
        <f>SUM(B22:B29)</f>
        <v>210.89000000000001</v>
      </c>
      <c r="C30" s="28">
        <f>SUM(C22:C29)</f>
        <v>2269.9988709999998</v>
      </c>
      <c r="D30" s="28">
        <f>SUM(D22:D29)</f>
        <v>11.349994355000003</v>
      </c>
      <c r="E30" s="28">
        <f>SUM(E22:E29)</f>
        <v>13</v>
      </c>
      <c r="G30" t="s">
        <v>103</v>
      </c>
      <c r="H30">
        <v>12.27</v>
      </c>
      <c r="I30">
        <f>Table6[[#This Row],[Area(m2)]]*10.7639</f>
        <v>132.07305299999999</v>
      </c>
      <c r="J30">
        <f>Table6[[#This Row],[Area(ft2)]]*5/1000</f>
        <v>0.66036526499999992</v>
      </c>
      <c r="K30">
        <f>IF(Table6[[#This Row],[Max Occupancy]]&lt;1,ROUNDUP(Table6[[#This Row],[Max Occupancy]],0),ROUNDDOWN(Table6[[#This Row],[Max Occupancy]],0))</f>
        <v>1</v>
      </c>
    </row>
    <row r="31" spans="1:11" x14ac:dyDescent="0.5">
      <c r="G31" s="28" t="s">
        <v>44</v>
      </c>
      <c r="H31" s="28">
        <f>SUM(H3:H30)</f>
        <v>504.27999999999992</v>
      </c>
      <c r="I31" s="28">
        <f>SUM(I3:I30)</f>
        <v>5428.0194920000013</v>
      </c>
      <c r="J31" s="28">
        <f>SUM(J3:J30)</f>
        <v>27.140097459999996</v>
      </c>
      <c r="K31" s="28">
        <f>SUM(K3:K30)</f>
        <v>33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6FCF-F310-4680-97F0-7A89E9182077}">
  <dimension ref="A1:K46"/>
  <sheetViews>
    <sheetView workbookViewId="0">
      <selection activeCell="G15" sqref="G15"/>
    </sheetView>
  </sheetViews>
  <sheetFormatPr defaultRowHeight="14.35" x14ac:dyDescent="0.5"/>
  <cols>
    <col min="1" max="1" width="9.1171875" customWidth="1"/>
    <col min="2" max="2" width="10.5859375" customWidth="1"/>
    <col min="3" max="3" width="10.41015625" customWidth="1"/>
    <col min="4" max="4" width="15.87890625" customWidth="1"/>
    <col min="5" max="5" width="10.41015625" customWidth="1"/>
    <col min="7" max="7" width="9.1171875" customWidth="1"/>
    <col min="8" max="8" width="10.5859375" customWidth="1"/>
    <col min="9" max="9" width="10.41015625" customWidth="1"/>
    <col min="10" max="10" width="15.87890625" customWidth="1"/>
    <col min="11" max="11" width="10.41015625" customWidth="1"/>
  </cols>
  <sheetData>
    <row r="1" spans="1:11" x14ac:dyDescent="0.5">
      <c r="A1" s="20" t="s">
        <v>0</v>
      </c>
      <c r="B1" s="20"/>
      <c r="G1" t="s">
        <v>1</v>
      </c>
    </row>
    <row r="2" spans="1:11" x14ac:dyDescent="0.5">
      <c r="A2" s="20" t="s">
        <v>2</v>
      </c>
      <c r="B2" s="20" t="s">
        <v>3</v>
      </c>
      <c r="C2" t="s">
        <v>4</v>
      </c>
      <c r="D2" t="s">
        <v>5</v>
      </c>
      <c r="E2" t="s">
        <v>6</v>
      </c>
      <c r="G2" s="23" t="s">
        <v>2</v>
      </c>
      <c r="H2" s="24" t="s">
        <v>3</v>
      </c>
      <c r="I2" s="24" t="s">
        <v>4</v>
      </c>
      <c r="J2" s="24" t="s">
        <v>5</v>
      </c>
      <c r="K2" s="25" t="s">
        <v>6</v>
      </c>
    </row>
    <row r="3" spans="1:11" x14ac:dyDescent="0.5">
      <c r="A3" t="s">
        <v>104</v>
      </c>
      <c r="B3">
        <v>15.08</v>
      </c>
      <c r="C3">
        <f>Table10[[#This Row],[Area(m2)]]*10.7639</f>
        <v>162.31961200000001</v>
      </c>
      <c r="D3">
        <f>Table10[[#This Row],[Area(ft2)]]*5/1000</f>
        <v>0.81159806000000001</v>
      </c>
      <c r="E3">
        <f>IF(Table10[[#This Row],[Max Occupancy]]&lt;1,ROUNDUP(Table10[[#This Row],[Max Occupancy]],0),ROUNDDOWN(Table10[[#This Row],[Max Occupancy]],0))</f>
        <v>1</v>
      </c>
      <c r="G3" t="s">
        <v>105</v>
      </c>
      <c r="H3">
        <v>16.43</v>
      </c>
      <c r="I3">
        <f>Table12[[#This Row],[Area(m2)]]*10.7639</f>
        <v>176.850877</v>
      </c>
      <c r="J3">
        <f>Table12[[#This Row],[Area(ft2)]]*5/1000</f>
        <v>0.88425438499999998</v>
      </c>
      <c r="K3">
        <f>IF(Table12[[#This Row],[Max Occupancy]]&lt;1,ROUNDUP(Table12[[#This Row],[Max Occupancy]],0),ROUNDDOWN(Table12[[#This Row],[Max Occupancy]],0))</f>
        <v>1</v>
      </c>
    </row>
    <row r="4" spans="1:11" x14ac:dyDescent="0.5">
      <c r="A4" s="28" t="s">
        <v>44</v>
      </c>
      <c r="B4" s="28">
        <f>B3</f>
        <v>15.08</v>
      </c>
      <c r="C4" s="28">
        <f t="shared" ref="C4:E4" si="0">C3</f>
        <v>162.31961200000001</v>
      </c>
      <c r="D4" s="28">
        <f t="shared" si="0"/>
        <v>0.81159806000000001</v>
      </c>
      <c r="E4" s="28">
        <f t="shared" si="0"/>
        <v>1</v>
      </c>
      <c r="G4" t="s">
        <v>106</v>
      </c>
      <c r="H4">
        <v>10.89</v>
      </c>
      <c r="I4">
        <f>Table12[[#This Row],[Area(m2)]]*10.7639</f>
        <v>117.21887100000001</v>
      </c>
      <c r="J4">
        <f>Table12[[#This Row],[Area(ft2)]]*5/1000</f>
        <v>0.58609435500000007</v>
      </c>
      <c r="K4">
        <f>IF(Table12[[#This Row],[Max Occupancy]]&lt;1,ROUNDUP(Table12[[#This Row],[Max Occupancy]],0),ROUNDDOWN(Table12[[#This Row],[Max Occupancy]],0))</f>
        <v>1</v>
      </c>
    </row>
    <row r="5" spans="1:11" x14ac:dyDescent="0.5">
      <c r="G5" t="s">
        <v>107</v>
      </c>
      <c r="H5">
        <v>14.32</v>
      </c>
      <c r="I5">
        <f>Table12[[#This Row],[Area(m2)]]*10.7639</f>
        <v>154.139048</v>
      </c>
      <c r="J5">
        <f>Table12[[#This Row],[Area(ft2)]]*5/1000</f>
        <v>0.77069524</v>
      </c>
      <c r="K5">
        <f>IF(Table12[[#This Row],[Max Occupancy]]&lt;1,ROUNDUP(Table12[[#This Row],[Max Occupancy]],0),ROUNDDOWN(Table12[[#This Row],[Max Occupancy]],0))</f>
        <v>1</v>
      </c>
    </row>
    <row r="6" spans="1:11" x14ac:dyDescent="0.5">
      <c r="G6" t="s">
        <v>108</v>
      </c>
      <c r="H6">
        <v>10.97</v>
      </c>
      <c r="I6">
        <f>Table12[[#This Row],[Area(m2)]]*10.7639</f>
        <v>118.079983</v>
      </c>
      <c r="J6">
        <f>Table12[[#This Row],[Area(ft2)]]*5/1000</f>
        <v>0.590399915</v>
      </c>
      <c r="K6">
        <f>IF(Table12[[#This Row],[Max Occupancy]]&lt;1,ROUNDUP(Table12[[#This Row],[Max Occupancy]],0),ROUNDDOWN(Table12[[#This Row],[Max Occupancy]],0))</f>
        <v>1</v>
      </c>
    </row>
    <row r="7" spans="1:11" x14ac:dyDescent="0.5">
      <c r="A7" t="s">
        <v>49</v>
      </c>
      <c r="G7" t="s">
        <v>109</v>
      </c>
      <c r="H7">
        <v>19.239999999999998</v>
      </c>
      <c r="I7">
        <f>Table12[[#This Row],[Area(m2)]]*10.7639</f>
        <v>207.09743599999999</v>
      </c>
      <c r="J7">
        <f>Table12[[#This Row],[Area(ft2)]]*5/1000</f>
        <v>1.0354871799999998</v>
      </c>
      <c r="K7">
        <f>IF(Table12[[#This Row],[Max Occupancy]]&lt;1,ROUNDUP(Table12[[#This Row],[Max Occupancy]],0),ROUNDDOWN(Table12[[#This Row],[Max Occupancy]],0))</f>
        <v>1</v>
      </c>
    </row>
    <row r="8" spans="1:11" x14ac:dyDescent="0.5">
      <c r="A8" s="23" t="s">
        <v>2</v>
      </c>
      <c r="B8" s="24" t="s">
        <v>3</v>
      </c>
      <c r="C8" s="24" t="s">
        <v>4</v>
      </c>
      <c r="D8" s="24" t="s">
        <v>5</v>
      </c>
      <c r="E8" s="25" t="s">
        <v>6</v>
      </c>
      <c r="G8" t="s">
        <v>110</v>
      </c>
      <c r="H8">
        <v>18.52</v>
      </c>
      <c r="I8">
        <f>Table12[[#This Row],[Area(m2)]]*10.7639</f>
        <v>199.34742799999998</v>
      </c>
      <c r="J8">
        <f>Table12[[#This Row],[Area(ft2)]]*5/1000</f>
        <v>0.99673713999999991</v>
      </c>
      <c r="K8">
        <f>IF(Table12[[#This Row],[Max Occupancy]]&lt;1,ROUNDUP(Table12[[#This Row],[Max Occupancy]],0),ROUNDDOWN(Table12[[#This Row],[Max Occupancy]],0))</f>
        <v>1</v>
      </c>
    </row>
    <row r="9" spans="1:11" x14ac:dyDescent="0.5">
      <c r="A9" t="s">
        <v>111</v>
      </c>
      <c r="B9">
        <v>3.48</v>
      </c>
      <c r="C9">
        <f>Table11[[#This Row],[Area(m2)]]*10.7639</f>
        <v>37.458371999999997</v>
      </c>
      <c r="D9">
        <f>Table11[[#This Row],[Area(ft2)]]*5/1000</f>
        <v>0.18729185999999998</v>
      </c>
      <c r="E9">
        <f>IF(Table11[[#This Row],[Max Occupancy]]&lt;1,ROUNDUP(Table11[[#This Row],[Max Occupancy]],0),ROUNDDOWN(Table11[[#This Row],[Max Occupancy]],0))</f>
        <v>1</v>
      </c>
      <c r="G9" t="s">
        <v>112</v>
      </c>
      <c r="H9">
        <v>16.829999999999998</v>
      </c>
      <c r="I9">
        <f>Table12[[#This Row],[Area(m2)]]*10.7639</f>
        <v>181.15643699999998</v>
      </c>
      <c r="J9">
        <f>Table12[[#This Row],[Area(ft2)]]*5/1000</f>
        <v>0.90578218499999996</v>
      </c>
      <c r="K9">
        <f>IF(Table12[[#This Row],[Max Occupancy]]&lt;1,ROUNDUP(Table12[[#This Row],[Max Occupancy]],0),ROUNDDOWN(Table12[[#This Row],[Max Occupancy]],0))</f>
        <v>1</v>
      </c>
    </row>
    <row r="10" spans="1:11" x14ac:dyDescent="0.5">
      <c r="A10" t="s">
        <v>113</v>
      </c>
      <c r="B10">
        <v>11.05</v>
      </c>
      <c r="C10">
        <f>Table11[[#This Row],[Area(m2)]]*10.7639</f>
        <v>118.941095</v>
      </c>
      <c r="D10">
        <f>Table11[[#This Row],[Area(ft2)]]*5/1000</f>
        <v>0.59470547499999993</v>
      </c>
      <c r="E10">
        <f>IF(Table11[[#This Row],[Max Occupancy]]&lt;1,ROUNDUP(Table11[[#This Row],[Max Occupancy]],0),ROUNDDOWN(Table11[[#This Row],[Max Occupancy]],0))</f>
        <v>1</v>
      </c>
      <c r="G10" t="s">
        <v>114</v>
      </c>
      <c r="H10">
        <v>11.25</v>
      </c>
      <c r="I10">
        <f>Table12[[#This Row],[Area(m2)]]*10.7639</f>
        <v>121.093875</v>
      </c>
      <c r="J10">
        <f>Table12[[#This Row],[Area(ft2)]]*5/1000</f>
        <v>0.60546937499999998</v>
      </c>
      <c r="K10">
        <f>IF(Table12[[#This Row],[Max Occupancy]]&lt;1,ROUNDUP(Table12[[#This Row],[Max Occupancy]],0),ROUNDDOWN(Table12[[#This Row],[Max Occupancy]],0))</f>
        <v>1</v>
      </c>
    </row>
    <row r="11" spans="1:11" x14ac:dyDescent="0.5">
      <c r="A11" s="28" t="s">
        <v>44</v>
      </c>
      <c r="B11" s="28">
        <f>SUM(B9:B10)</f>
        <v>14.530000000000001</v>
      </c>
      <c r="C11" s="28">
        <f t="shared" ref="C11:E11" si="1">SUM(C9:C10)</f>
        <v>156.39946700000002</v>
      </c>
      <c r="D11" s="28">
        <f t="shared" si="1"/>
        <v>0.7819973349999999</v>
      </c>
      <c r="E11" s="28">
        <f t="shared" si="1"/>
        <v>2</v>
      </c>
      <c r="G11" t="s">
        <v>115</v>
      </c>
      <c r="H11">
        <v>14.43</v>
      </c>
      <c r="I11">
        <f>Table12[[#This Row],[Area(m2)]]*10.7639</f>
        <v>155.32307699999998</v>
      </c>
      <c r="J11">
        <f>Table12[[#This Row],[Area(ft2)]]*5/1000</f>
        <v>0.77661538499999994</v>
      </c>
      <c r="K11">
        <f>IF(Table12[[#This Row],[Max Occupancy]]&lt;1,ROUNDUP(Table12[[#This Row],[Max Occupancy]],0),ROUNDDOWN(Table12[[#This Row],[Max Occupancy]],0))</f>
        <v>1</v>
      </c>
    </row>
    <row r="12" spans="1:11" x14ac:dyDescent="0.5">
      <c r="G12" t="s">
        <v>116</v>
      </c>
      <c r="H12">
        <v>13.77</v>
      </c>
      <c r="I12">
        <f>Table12[[#This Row],[Area(m2)]]*10.7639</f>
        <v>148.21890299999998</v>
      </c>
      <c r="J12">
        <f>Table12[[#This Row],[Area(ft2)]]*5/1000</f>
        <v>0.7410945149999999</v>
      </c>
      <c r="K12">
        <f>IF(Table12[[#This Row],[Max Occupancy]]&lt;1,ROUNDUP(Table12[[#This Row],[Max Occupancy]],0),ROUNDDOWN(Table12[[#This Row],[Max Occupancy]],0))</f>
        <v>1</v>
      </c>
    </row>
    <row r="13" spans="1:11" x14ac:dyDescent="0.5">
      <c r="G13" t="s">
        <v>117</v>
      </c>
      <c r="H13">
        <v>13.47</v>
      </c>
      <c r="I13">
        <f>Table12[[#This Row],[Area(m2)]]*10.7639</f>
        <v>144.989733</v>
      </c>
      <c r="J13">
        <f>Table12[[#This Row],[Area(ft2)]]*5/1000</f>
        <v>0.72494866499999999</v>
      </c>
      <c r="K13">
        <f>IF(Table12[[#This Row],[Max Occupancy]]&lt;1,ROUNDUP(Table12[[#This Row],[Max Occupancy]],0),ROUNDDOWN(Table12[[#This Row],[Max Occupancy]],0))</f>
        <v>1</v>
      </c>
    </row>
    <row r="14" spans="1:11" x14ac:dyDescent="0.5">
      <c r="A14" t="s">
        <v>118</v>
      </c>
      <c r="G14" t="s">
        <v>119</v>
      </c>
      <c r="H14">
        <v>14.3</v>
      </c>
      <c r="I14">
        <f>Table12[[#This Row],[Area(m2)]]*10.7639</f>
        <v>153.92376999999999</v>
      </c>
      <c r="J14">
        <f>Table12[[#This Row],[Area(ft2)]]*5/1000</f>
        <v>0.76961884999999997</v>
      </c>
      <c r="K14">
        <f>IF(Table12[[#This Row],[Max Occupancy]]&lt;1,ROUNDUP(Table12[[#This Row],[Max Occupancy]],0),ROUNDDOWN(Table12[[#This Row],[Max Occupancy]],0))</f>
        <v>1</v>
      </c>
    </row>
    <row r="15" spans="1:11" x14ac:dyDescent="0.5">
      <c r="A15" s="23" t="s">
        <v>2</v>
      </c>
      <c r="B15" s="24" t="s">
        <v>3</v>
      </c>
      <c r="C15" s="24" t="s">
        <v>4</v>
      </c>
      <c r="D15" s="24" t="s">
        <v>5</v>
      </c>
      <c r="E15" s="25" t="s">
        <v>6</v>
      </c>
      <c r="G15" t="s">
        <v>120</v>
      </c>
      <c r="H15">
        <v>0</v>
      </c>
      <c r="I15">
        <f>Table12[[#This Row],[Area(m2)]]*10.7639</f>
        <v>0</v>
      </c>
      <c r="J15">
        <f>Table12[[#This Row],[Area(ft2)]]*5/1000</f>
        <v>0</v>
      </c>
      <c r="K15">
        <f>IF(Table12[[#This Row],[Max Occupancy]]&lt;1,ROUNDUP(Table12[[#This Row],[Max Occupancy]],0),ROUNDDOWN(Table12[[#This Row],[Max Occupancy]],0))</f>
        <v>0</v>
      </c>
    </row>
    <row r="16" spans="1:11" x14ac:dyDescent="0.5">
      <c r="A16" t="s">
        <v>121</v>
      </c>
      <c r="B16">
        <v>59.87</v>
      </c>
      <c r="C16">
        <f>Table13[[#This Row],[Area(m2)]]*10.7639</f>
        <v>644.43469299999992</v>
      </c>
      <c r="D16">
        <f>Table13[[#This Row],[Area(ft2)]]*5/1000</f>
        <v>3.222173465</v>
      </c>
      <c r="E16">
        <f>IF(Table13[[#This Row],[Max Occupancy]]&lt;1,ROUNDUP(Table13[[#This Row],[Max Occupancy]],0),ROUNDDOWN(Table13[[#This Row],[Max Occupancy]],0))</f>
        <v>3</v>
      </c>
      <c r="G16" t="s">
        <v>122</v>
      </c>
      <c r="H16">
        <v>11.51</v>
      </c>
      <c r="I16">
        <f>Table12[[#This Row],[Area(m2)]]*10.7639</f>
        <v>123.892489</v>
      </c>
      <c r="J16">
        <f>Table12[[#This Row],[Area(ft2)]]*5/1000</f>
        <v>0.61946244500000003</v>
      </c>
      <c r="K16">
        <f>IF(Table12[[#This Row],[Max Occupancy]]&lt;1,ROUNDUP(Table12[[#This Row],[Max Occupancy]],0),ROUNDDOWN(Table12[[#This Row],[Max Occupancy]],0))</f>
        <v>1</v>
      </c>
    </row>
    <row r="17" spans="1:11" x14ac:dyDescent="0.5">
      <c r="A17" t="s">
        <v>123</v>
      </c>
      <c r="B17">
        <v>18.670000000000002</v>
      </c>
      <c r="C17">
        <f>Table13[[#This Row],[Area(m2)]]*10.7639</f>
        <v>200.96201300000001</v>
      </c>
      <c r="D17">
        <f>Table13[[#This Row],[Area(ft2)]]*5/1000</f>
        <v>1.004810065</v>
      </c>
      <c r="E17">
        <f>IF(Table13[[#This Row],[Max Occupancy]]&lt;1,ROUNDUP(Table13[[#This Row],[Max Occupancy]],0),ROUNDDOWN(Table13[[#This Row],[Max Occupancy]],0))</f>
        <v>1</v>
      </c>
      <c r="G17" t="s">
        <v>124</v>
      </c>
      <c r="H17">
        <v>13.29</v>
      </c>
      <c r="I17">
        <f>Table12[[#This Row],[Area(m2)]]*10.7639</f>
        <v>143.05223099999998</v>
      </c>
      <c r="J17">
        <f>Table12[[#This Row],[Area(ft2)]]*5/1000</f>
        <v>0.71526115499999987</v>
      </c>
      <c r="K17">
        <f>IF(Table12[[#This Row],[Max Occupancy]]&lt;1,ROUNDUP(Table12[[#This Row],[Max Occupancy]],0),ROUNDDOWN(Table12[[#This Row],[Max Occupancy]],0))</f>
        <v>1</v>
      </c>
    </row>
    <row r="18" spans="1:11" x14ac:dyDescent="0.5">
      <c r="A18" s="28" t="s">
        <v>44</v>
      </c>
      <c r="B18" s="28">
        <f>SUM(B16:B17)</f>
        <v>78.539999999999992</v>
      </c>
      <c r="C18" s="28">
        <f t="shared" ref="C18:E18" si="2">SUM(C16:C17)</f>
        <v>845.39670599999999</v>
      </c>
      <c r="D18" s="28">
        <f t="shared" si="2"/>
        <v>4.22698353</v>
      </c>
      <c r="E18" s="28">
        <f t="shared" si="2"/>
        <v>4</v>
      </c>
      <c r="G18" t="s">
        <v>125</v>
      </c>
      <c r="H18">
        <v>14.54</v>
      </c>
      <c r="I18">
        <f>Table12[[#This Row],[Area(m2)]]*10.7639</f>
        <v>156.50710599999999</v>
      </c>
      <c r="J18">
        <f>Table12[[#This Row],[Area(ft2)]]*5/1000</f>
        <v>0.78253552999999998</v>
      </c>
      <c r="K18">
        <f>IF(Table12[[#This Row],[Max Occupancy]]&lt;1,ROUNDUP(Table12[[#This Row],[Max Occupancy]],0),ROUNDDOWN(Table12[[#This Row],[Max Occupancy]],0))</f>
        <v>1</v>
      </c>
    </row>
    <row r="19" spans="1:11" x14ac:dyDescent="0.5">
      <c r="G19" t="s">
        <v>126</v>
      </c>
      <c r="H19">
        <v>14.78</v>
      </c>
      <c r="I19">
        <f>Table12[[#This Row],[Area(m2)]]*10.7639</f>
        <v>159.090442</v>
      </c>
      <c r="J19">
        <f>Table12[[#This Row],[Area(ft2)]]*5/1000</f>
        <v>0.79545220999999988</v>
      </c>
      <c r="K19">
        <f>IF(Table12[[#This Row],[Max Occupancy]]&lt;1,ROUNDUP(Table12[[#This Row],[Max Occupancy]],0),ROUNDDOWN(Table12[[#This Row],[Max Occupancy]],0))</f>
        <v>1</v>
      </c>
    </row>
    <row r="20" spans="1:11" x14ac:dyDescent="0.5">
      <c r="G20" t="s">
        <v>127</v>
      </c>
      <c r="H20">
        <v>14.46</v>
      </c>
      <c r="I20">
        <f>Table12[[#This Row],[Area(m2)]]*10.7639</f>
        <v>155.645994</v>
      </c>
      <c r="J20">
        <f>Table12[[#This Row],[Area(ft2)]]*5/1000</f>
        <v>0.77822996999999994</v>
      </c>
      <c r="K20">
        <f>IF(Table12[[#This Row],[Max Occupancy]]&lt;1,ROUNDUP(Table12[[#This Row],[Max Occupancy]],0),ROUNDDOWN(Table12[[#This Row],[Max Occupancy]],0))</f>
        <v>1</v>
      </c>
    </row>
    <row r="21" spans="1:11" x14ac:dyDescent="0.5">
      <c r="G21" t="s">
        <v>128</v>
      </c>
      <c r="H21">
        <v>14.46</v>
      </c>
      <c r="I21">
        <f>Table12[[#This Row],[Area(m2)]]*10.7639</f>
        <v>155.645994</v>
      </c>
      <c r="J21">
        <f>Table12[[#This Row],[Area(ft2)]]*5/1000</f>
        <v>0.77822996999999994</v>
      </c>
      <c r="K21">
        <f>IF(Table12[[#This Row],[Max Occupancy]]&lt;1,ROUNDUP(Table12[[#This Row],[Max Occupancy]],0),ROUNDDOWN(Table12[[#This Row],[Max Occupancy]],0))</f>
        <v>1</v>
      </c>
    </row>
    <row r="22" spans="1:11" x14ac:dyDescent="0.5">
      <c r="G22" t="s">
        <v>129</v>
      </c>
      <c r="H22">
        <v>14.46</v>
      </c>
      <c r="I22">
        <f>Table12[[#This Row],[Area(m2)]]*10.7639</f>
        <v>155.645994</v>
      </c>
      <c r="J22">
        <f>Table12[[#This Row],[Area(ft2)]]*5/1000</f>
        <v>0.77822996999999994</v>
      </c>
      <c r="K22">
        <f>IF(Table12[[#This Row],[Max Occupancy]]&lt;1,ROUNDUP(Table12[[#This Row],[Max Occupancy]],0),ROUNDDOWN(Table12[[#This Row],[Max Occupancy]],0))</f>
        <v>1</v>
      </c>
    </row>
    <row r="23" spans="1:11" x14ac:dyDescent="0.5">
      <c r="G23" t="s">
        <v>130</v>
      </c>
      <c r="H23">
        <v>14.46</v>
      </c>
      <c r="I23">
        <f>Table12[[#This Row],[Area(m2)]]*10.7639</f>
        <v>155.645994</v>
      </c>
      <c r="J23">
        <f>Table12[[#This Row],[Area(ft2)]]*5/1000</f>
        <v>0.77822996999999994</v>
      </c>
      <c r="K23">
        <f>IF(Table12[[#This Row],[Max Occupancy]]&lt;1,ROUNDUP(Table12[[#This Row],[Max Occupancy]],0),ROUNDDOWN(Table12[[#This Row],[Max Occupancy]],0))</f>
        <v>1</v>
      </c>
    </row>
    <row r="24" spans="1:11" x14ac:dyDescent="0.5">
      <c r="G24" t="s">
        <v>131</v>
      </c>
      <c r="H24">
        <v>14.78</v>
      </c>
      <c r="I24">
        <f>Table12[[#This Row],[Area(m2)]]*10.7639</f>
        <v>159.090442</v>
      </c>
      <c r="J24">
        <f>Table12[[#This Row],[Area(ft2)]]*5/1000</f>
        <v>0.79545220999999988</v>
      </c>
      <c r="K24">
        <f>IF(Table12[[#This Row],[Max Occupancy]]&lt;1,ROUNDUP(Table12[[#This Row],[Max Occupancy]],0),ROUNDDOWN(Table12[[#This Row],[Max Occupancy]],0))</f>
        <v>1</v>
      </c>
    </row>
    <row r="25" spans="1:11" x14ac:dyDescent="0.5">
      <c r="G25" t="s">
        <v>132</v>
      </c>
      <c r="H25">
        <v>12.74</v>
      </c>
      <c r="I25">
        <f>Table12[[#This Row],[Area(m2)]]*10.7639</f>
        <v>137.13208599999999</v>
      </c>
      <c r="J25">
        <f>Table12[[#This Row],[Area(ft2)]]*5/1000</f>
        <v>0.68566042999999988</v>
      </c>
      <c r="K25">
        <f>IF(Table12[[#This Row],[Max Occupancy]]&lt;1,ROUNDUP(Table12[[#This Row],[Max Occupancy]],0),ROUNDDOWN(Table12[[#This Row],[Max Occupancy]],0))</f>
        <v>1</v>
      </c>
    </row>
    <row r="26" spans="1:11" x14ac:dyDescent="0.5">
      <c r="G26" t="s">
        <v>133</v>
      </c>
      <c r="H26">
        <v>15.07</v>
      </c>
      <c r="I26">
        <f>Table12[[#This Row],[Area(m2)]]*10.7639</f>
        <v>162.211973</v>
      </c>
      <c r="J26">
        <f>Table12[[#This Row],[Area(ft2)]]*5/1000</f>
        <v>0.81105986499999994</v>
      </c>
      <c r="K26">
        <f>IF(Table12[[#This Row],[Max Occupancy]]&lt;1,ROUNDUP(Table12[[#This Row],[Max Occupancy]],0),ROUNDDOWN(Table12[[#This Row],[Max Occupancy]],0))</f>
        <v>1</v>
      </c>
    </row>
    <row r="27" spans="1:11" x14ac:dyDescent="0.5">
      <c r="G27" t="s">
        <v>134</v>
      </c>
      <c r="H27">
        <v>15.07</v>
      </c>
      <c r="I27">
        <f>Table12[[#This Row],[Area(m2)]]*10.7639</f>
        <v>162.211973</v>
      </c>
      <c r="J27">
        <f>Table12[[#This Row],[Area(ft2)]]*5/1000</f>
        <v>0.81105986499999994</v>
      </c>
      <c r="K27">
        <f>IF(Table12[[#This Row],[Max Occupancy]]&lt;1,ROUNDUP(Table12[[#This Row],[Max Occupancy]],0),ROUNDDOWN(Table12[[#This Row],[Max Occupancy]],0))</f>
        <v>1</v>
      </c>
    </row>
    <row r="28" spans="1:11" x14ac:dyDescent="0.5">
      <c r="G28" t="s">
        <v>135</v>
      </c>
      <c r="H28">
        <v>15.07</v>
      </c>
      <c r="I28">
        <f>Table12[[#This Row],[Area(m2)]]*10.7639</f>
        <v>162.211973</v>
      </c>
      <c r="J28">
        <f>Table12[[#This Row],[Area(ft2)]]*5/1000</f>
        <v>0.81105986499999994</v>
      </c>
      <c r="K28">
        <f>IF(Table12[[#This Row],[Max Occupancy]]&lt;1,ROUNDUP(Table12[[#This Row],[Max Occupancy]],0),ROUNDDOWN(Table12[[#This Row],[Max Occupancy]],0))</f>
        <v>1</v>
      </c>
    </row>
    <row r="29" spans="1:11" x14ac:dyDescent="0.5">
      <c r="G29" t="s">
        <v>136</v>
      </c>
      <c r="H29">
        <v>15.07</v>
      </c>
      <c r="I29">
        <f>Table12[[#This Row],[Area(m2)]]*10.7639</f>
        <v>162.211973</v>
      </c>
      <c r="J29">
        <f>Table12[[#This Row],[Area(ft2)]]*5/1000</f>
        <v>0.81105986499999994</v>
      </c>
      <c r="K29">
        <f>IF(Table12[[#This Row],[Max Occupancy]]&lt;1,ROUNDUP(Table12[[#This Row],[Max Occupancy]],0),ROUNDDOWN(Table12[[#This Row],[Max Occupancy]],0))</f>
        <v>1</v>
      </c>
    </row>
    <row r="30" spans="1:11" x14ac:dyDescent="0.5">
      <c r="G30" t="s">
        <v>137</v>
      </c>
      <c r="H30">
        <v>15.07</v>
      </c>
      <c r="I30">
        <f>Table12[[#This Row],[Area(m2)]]*10.7639</f>
        <v>162.211973</v>
      </c>
      <c r="J30">
        <f>Table12[[#This Row],[Area(ft2)]]*5/1000</f>
        <v>0.81105986499999994</v>
      </c>
      <c r="K30">
        <f>IF(Table12[[#This Row],[Max Occupancy]]&lt;1,ROUNDUP(Table12[[#This Row],[Max Occupancy]],0),ROUNDDOWN(Table12[[#This Row],[Max Occupancy]],0))</f>
        <v>1</v>
      </c>
    </row>
    <row r="31" spans="1:11" x14ac:dyDescent="0.5">
      <c r="G31" t="s">
        <v>138</v>
      </c>
      <c r="H31">
        <v>15.07</v>
      </c>
      <c r="I31">
        <f>Table12[[#This Row],[Area(m2)]]*10.7639</f>
        <v>162.211973</v>
      </c>
      <c r="J31">
        <f>Table12[[#This Row],[Area(ft2)]]*5/1000</f>
        <v>0.81105986499999994</v>
      </c>
      <c r="K31">
        <f>IF(Table12[[#This Row],[Max Occupancy]]&lt;1,ROUNDUP(Table12[[#This Row],[Max Occupancy]],0),ROUNDDOWN(Table12[[#This Row],[Max Occupancy]],0))</f>
        <v>1</v>
      </c>
    </row>
    <row r="32" spans="1:11" x14ac:dyDescent="0.5">
      <c r="G32" t="s">
        <v>139</v>
      </c>
      <c r="H32">
        <v>15.07</v>
      </c>
      <c r="I32">
        <f>Table12[[#This Row],[Area(m2)]]*10.7639</f>
        <v>162.211973</v>
      </c>
      <c r="J32">
        <f>Table12[[#This Row],[Area(ft2)]]*5/1000</f>
        <v>0.81105986499999994</v>
      </c>
      <c r="K32">
        <f>IF(Table12[[#This Row],[Max Occupancy]]&lt;1,ROUNDUP(Table12[[#This Row],[Max Occupancy]],0),ROUNDDOWN(Table12[[#This Row],[Max Occupancy]],0))</f>
        <v>1</v>
      </c>
    </row>
    <row r="33" spans="7:11" x14ac:dyDescent="0.5">
      <c r="G33" t="s">
        <v>140</v>
      </c>
      <c r="H33">
        <v>15.17</v>
      </c>
      <c r="I33">
        <f>Table12[[#This Row],[Area(m2)]]*10.7639</f>
        <v>163.288363</v>
      </c>
      <c r="J33">
        <f>Table12[[#This Row],[Area(ft2)]]*5/1000</f>
        <v>0.81644181500000002</v>
      </c>
      <c r="K33">
        <f>IF(Table12[[#This Row],[Max Occupancy]]&lt;1,ROUNDUP(Table12[[#This Row],[Max Occupancy]],0),ROUNDDOWN(Table12[[#This Row],[Max Occupancy]],0))</f>
        <v>1</v>
      </c>
    </row>
    <row r="34" spans="7:11" x14ac:dyDescent="0.5">
      <c r="G34" t="s">
        <v>141</v>
      </c>
      <c r="H34">
        <v>26.94</v>
      </c>
      <c r="I34">
        <f>Table12[[#This Row],[Area(m2)]]*10.7639</f>
        <v>289.979466</v>
      </c>
      <c r="J34">
        <f>Table12[[#This Row],[Area(ft2)]]*5/1000</f>
        <v>1.44989733</v>
      </c>
      <c r="K34">
        <f>IF(Table12[[#This Row],[Max Occupancy]]&lt;1,ROUNDUP(Table12[[#This Row],[Max Occupancy]],0),ROUNDDOWN(Table12[[#This Row],[Max Occupancy]],0))</f>
        <v>1</v>
      </c>
    </row>
    <row r="35" spans="7:11" x14ac:dyDescent="0.5">
      <c r="G35" t="s">
        <v>142</v>
      </c>
      <c r="H35">
        <v>17.739999999999998</v>
      </c>
      <c r="I35">
        <f>Table12[[#This Row],[Area(m2)]]*10.7639</f>
        <v>190.95158599999996</v>
      </c>
      <c r="J35">
        <f>Table12[[#This Row],[Area(ft2)]]*5/1000</f>
        <v>0.95475792999999975</v>
      </c>
      <c r="K35">
        <f>IF(Table12[[#This Row],[Max Occupancy]]&lt;1,ROUNDUP(Table12[[#This Row],[Max Occupancy]],0),ROUNDDOWN(Table12[[#This Row],[Max Occupancy]],0))</f>
        <v>1</v>
      </c>
    </row>
    <row r="36" spans="7:11" x14ac:dyDescent="0.5">
      <c r="G36" t="s">
        <v>143</v>
      </c>
      <c r="H36">
        <v>9.8800000000000008</v>
      </c>
      <c r="I36">
        <f>Table12[[#This Row],[Area(m2)]]*10.7639</f>
        <v>106.34733200000001</v>
      </c>
      <c r="J36">
        <f>Table12[[#This Row],[Area(ft2)]]*5/1000</f>
        <v>0.53173666000000008</v>
      </c>
      <c r="K36">
        <f>IF(Table12[[#This Row],[Max Occupancy]]&lt;1,ROUNDUP(Table12[[#This Row],[Max Occupancy]],0),ROUNDDOWN(Table12[[#This Row],[Max Occupancy]],0))</f>
        <v>1</v>
      </c>
    </row>
    <row r="37" spans="7:11" x14ac:dyDescent="0.5">
      <c r="G37" t="s">
        <v>144</v>
      </c>
      <c r="H37">
        <v>11.8</v>
      </c>
      <c r="I37">
        <f>Table12[[#This Row],[Area(m2)]]*10.7639</f>
        <v>127.01402</v>
      </c>
      <c r="J37">
        <f>Table12[[#This Row],[Area(ft2)]]*5/1000</f>
        <v>0.63507009999999997</v>
      </c>
      <c r="K37">
        <f>IF(Table12[[#This Row],[Max Occupancy]]&lt;1,ROUNDUP(Table12[[#This Row],[Max Occupancy]],0),ROUNDDOWN(Table12[[#This Row],[Max Occupancy]],0))</f>
        <v>1</v>
      </c>
    </row>
    <row r="38" spans="7:11" x14ac:dyDescent="0.5">
      <c r="G38" t="s">
        <v>145</v>
      </c>
      <c r="H38">
        <v>12.42</v>
      </c>
      <c r="I38">
        <f>Table12[[#This Row],[Area(m2)]]*10.7639</f>
        <v>133.68763799999999</v>
      </c>
      <c r="J38">
        <f>Table12[[#This Row],[Area(ft2)]]*5/1000</f>
        <v>0.66843818999999993</v>
      </c>
      <c r="K38">
        <f>IF(Table12[[#This Row],[Max Occupancy]]&lt;1,ROUNDUP(Table12[[#This Row],[Max Occupancy]],0),ROUNDDOWN(Table12[[#This Row],[Max Occupancy]],0))</f>
        <v>1</v>
      </c>
    </row>
    <row r="39" spans="7:11" x14ac:dyDescent="0.5">
      <c r="G39" t="s">
        <v>146</v>
      </c>
      <c r="H39">
        <v>12.42</v>
      </c>
      <c r="I39">
        <f>Table12[[#This Row],[Area(m2)]]*10.7639</f>
        <v>133.68763799999999</v>
      </c>
      <c r="J39">
        <f>Table12[[#This Row],[Area(ft2)]]*5/1000</f>
        <v>0.66843818999999993</v>
      </c>
      <c r="K39">
        <f>IF(Table12[[#This Row],[Max Occupancy]]&lt;1,ROUNDUP(Table12[[#This Row],[Max Occupancy]],0),ROUNDDOWN(Table12[[#This Row],[Max Occupancy]],0))</f>
        <v>1</v>
      </c>
    </row>
    <row r="40" spans="7:11" x14ac:dyDescent="0.5">
      <c r="G40" t="s">
        <v>147</v>
      </c>
      <c r="H40">
        <v>12.42</v>
      </c>
      <c r="I40">
        <f>Table12[[#This Row],[Area(m2)]]*10.7639</f>
        <v>133.68763799999999</v>
      </c>
      <c r="J40">
        <f>Table12[[#This Row],[Area(ft2)]]*5/1000</f>
        <v>0.66843818999999993</v>
      </c>
      <c r="K40">
        <f>IF(Table12[[#This Row],[Max Occupancy]]&lt;1,ROUNDUP(Table12[[#This Row],[Max Occupancy]],0),ROUNDDOWN(Table12[[#This Row],[Max Occupancy]],0))</f>
        <v>1</v>
      </c>
    </row>
    <row r="41" spans="7:11" x14ac:dyDescent="0.5">
      <c r="G41" t="s">
        <v>148</v>
      </c>
      <c r="H41">
        <v>12.42</v>
      </c>
      <c r="I41">
        <f>Table12[[#This Row],[Area(m2)]]*10.7639</f>
        <v>133.68763799999999</v>
      </c>
      <c r="J41">
        <f>Table12[[#This Row],[Area(ft2)]]*5/1000</f>
        <v>0.66843818999999993</v>
      </c>
      <c r="K41">
        <f>IF(Table12[[#This Row],[Max Occupancy]]&lt;1,ROUNDUP(Table12[[#This Row],[Max Occupancy]],0),ROUNDDOWN(Table12[[#This Row],[Max Occupancy]],0))</f>
        <v>1</v>
      </c>
    </row>
    <row r="42" spans="7:11" x14ac:dyDescent="0.5">
      <c r="G42" t="s">
        <v>149</v>
      </c>
      <c r="H42">
        <v>12.42</v>
      </c>
      <c r="I42">
        <f>Table12[[#This Row],[Area(m2)]]*10.7639</f>
        <v>133.68763799999999</v>
      </c>
      <c r="J42">
        <f>Table12[[#This Row],[Area(ft2)]]*5/1000</f>
        <v>0.66843818999999993</v>
      </c>
      <c r="K42">
        <f>IF(Table12[[#This Row],[Max Occupancy]]&lt;1,ROUNDUP(Table12[[#This Row],[Max Occupancy]],0),ROUNDDOWN(Table12[[#This Row],[Max Occupancy]],0))</f>
        <v>1</v>
      </c>
    </row>
    <row r="43" spans="7:11" x14ac:dyDescent="0.5">
      <c r="G43" t="s">
        <v>150</v>
      </c>
      <c r="H43">
        <v>12.42</v>
      </c>
      <c r="I43">
        <f>Table12[[#This Row],[Area(m2)]]*10.7639</f>
        <v>133.68763799999999</v>
      </c>
      <c r="J43">
        <f>Table12[[#This Row],[Area(ft2)]]*5/1000</f>
        <v>0.66843818999999993</v>
      </c>
      <c r="K43">
        <f>IF(Table12[[#This Row],[Max Occupancy]]&lt;1,ROUNDUP(Table12[[#This Row],[Max Occupancy]],0),ROUNDDOWN(Table12[[#This Row],[Max Occupancy]],0))</f>
        <v>1</v>
      </c>
    </row>
    <row r="44" spans="7:11" x14ac:dyDescent="0.5">
      <c r="G44" t="s">
        <v>151</v>
      </c>
      <c r="H44">
        <v>12.42</v>
      </c>
      <c r="I44">
        <f>Table12[[#This Row],[Area(m2)]]*10.7639</f>
        <v>133.68763799999999</v>
      </c>
      <c r="J44">
        <f>Table12[[#This Row],[Area(ft2)]]*5/1000</f>
        <v>0.66843818999999993</v>
      </c>
      <c r="K44">
        <f>IF(Table12[[#This Row],[Max Occupancy]]&lt;1,ROUNDUP(Table12[[#This Row],[Max Occupancy]],0),ROUNDDOWN(Table12[[#This Row],[Max Occupancy]],0))</f>
        <v>1</v>
      </c>
    </row>
    <row r="45" spans="7:11" x14ac:dyDescent="0.5">
      <c r="G45" t="s">
        <v>152</v>
      </c>
      <c r="H45">
        <v>11.58</v>
      </c>
      <c r="I45">
        <f>Table12[[#This Row],[Area(m2)]]*10.7639</f>
        <v>124.645962</v>
      </c>
      <c r="J45">
        <f>Table12[[#This Row],[Area(ft2)]]*5/1000</f>
        <v>0.62322981</v>
      </c>
      <c r="K45">
        <f>IF(Table12[[#This Row],[Max Occupancy]]&lt;1,ROUNDUP(Table12[[#This Row],[Max Occupancy]],0),ROUNDDOWN(Table12[[#This Row],[Max Occupancy]],0))</f>
        <v>1</v>
      </c>
    </row>
    <row r="46" spans="7:11" x14ac:dyDescent="0.5">
      <c r="G46" s="28" t="s">
        <v>44</v>
      </c>
      <c r="H46" s="28">
        <f>SUM(H3:H45)</f>
        <v>599.43999999999971</v>
      </c>
      <c r="I46" s="28">
        <f>SUM(I3:I45)</f>
        <v>6452.3122160000021</v>
      </c>
      <c r="J46" s="28">
        <f>SUM(J3:J45)</f>
        <v>32.26156108</v>
      </c>
      <c r="K46" s="28">
        <f>SUM(K3:K45)</f>
        <v>42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F495-41D7-49B9-A6CD-12072922FB65}">
  <dimension ref="A1:K25"/>
  <sheetViews>
    <sheetView workbookViewId="0">
      <selection activeCell="G21" sqref="G21"/>
    </sheetView>
  </sheetViews>
  <sheetFormatPr defaultRowHeight="14.35" x14ac:dyDescent="0.5"/>
  <cols>
    <col min="1" max="1" width="9.1171875" customWidth="1"/>
    <col min="2" max="2" width="10.5859375" customWidth="1"/>
    <col min="3" max="3" width="10.41015625" customWidth="1"/>
    <col min="4" max="4" width="15.87890625" customWidth="1"/>
    <col min="5" max="5" width="10.41015625" customWidth="1"/>
    <col min="7" max="7" width="9.1171875" customWidth="1"/>
    <col min="8" max="8" width="10.5859375" customWidth="1"/>
    <col min="9" max="9" width="10.41015625" customWidth="1"/>
    <col min="10" max="10" width="15.87890625" customWidth="1"/>
    <col min="11" max="11" width="10.41015625" customWidth="1"/>
  </cols>
  <sheetData>
    <row r="1" spans="1:11" x14ac:dyDescent="0.5">
      <c r="A1" s="20" t="s">
        <v>153</v>
      </c>
      <c r="B1" s="20"/>
      <c r="G1" t="s">
        <v>1</v>
      </c>
    </row>
    <row r="2" spans="1:11" x14ac:dyDescent="0.5">
      <c r="A2" s="20" t="s">
        <v>2</v>
      </c>
      <c r="B2" s="20" t="s">
        <v>3</v>
      </c>
      <c r="C2" t="s">
        <v>4</v>
      </c>
      <c r="D2" t="s">
        <v>5</v>
      </c>
      <c r="E2" t="s">
        <v>6</v>
      </c>
      <c r="G2" s="23" t="s">
        <v>2</v>
      </c>
      <c r="H2" s="24" t="s">
        <v>3</v>
      </c>
      <c r="I2" s="24" t="s">
        <v>4</v>
      </c>
      <c r="J2" s="24" t="s">
        <v>5</v>
      </c>
      <c r="K2" s="25" t="s">
        <v>6</v>
      </c>
    </row>
    <row r="3" spans="1:11" x14ac:dyDescent="0.5">
      <c r="A3" t="s">
        <v>154</v>
      </c>
      <c r="B3">
        <v>8.5299999999999994</v>
      </c>
      <c r="C3">
        <f>Table15[[#This Row],[Area(m2)]]*10.7639</f>
        <v>91.81606699999999</v>
      </c>
      <c r="D3">
        <f>Table15[[#This Row],[Area(ft2)]]*5/1000</f>
        <v>0.45908033499999995</v>
      </c>
      <c r="E3">
        <f>IF(Table15[[#This Row],[Max Occupancy]]&lt;1,ROUNDUP(Table15[[#This Row],[Max Occupancy]],0),ROUNDDOWN(Table15[[#This Row],[Max Occupancy]],0))</f>
        <v>1</v>
      </c>
      <c r="G3" t="s">
        <v>155</v>
      </c>
      <c r="H3">
        <v>12.94</v>
      </c>
      <c r="I3">
        <f>Table14[[#This Row],[Area(m2)]]*10.7639</f>
        <v>139.28486599999999</v>
      </c>
      <c r="J3">
        <f>Table14[[#This Row],[Area(ft2)]]*5/1000</f>
        <v>0.69642432999999992</v>
      </c>
      <c r="K3">
        <f>IF(Table14[[#This Row],[Max Occupancy]]&lt;1,ROUNDUP(Table14[[#This Row],[Max Occupancy]],0),ROUNDDOWN(Table14[[#This Row],[Max Occupancy]],0))</f>
        <v>1</v>
      </c>
    </row>
    <row r="4" spans="1:11" x14ac:dyDescent="0.5">
      <c r="A4" t="s">
        <v>156</v>
      </c>
      <c r="B4">
        <v>7.43</v>
      </c>
      <c r="C4">
        <f>Table15[[#This Row],[Area(m2)]]*10.7639</f>
        <v>79.975776999999994</v>
      </c>
      <c r="D4">
        <f>Table15[[#This Row],[Area(ft2)]]*5/1000</f>
        <v>0.39987888499999996</v>
      </c>
      <c r="E4">
        <f>IF(Table15[[#This Row],[Max Occupancy]]&lt;1,ROUNDUP(Table15[[#This Row],[Max Occupancy]],0),ROUNDDOWN(Table15[[#This Row],[Max Occupancy]],0))</f>
        <v>1</v>
      </c>
      <c r="G4" t="s">
        <v>157</v>
      </c>
      <c r="H4">
        <v>6.76</v>
      </c>
      <c r="I4">
        <f>Table14[[#This Row],[Area(m2)]]*10.7639</f>
        <v>72.763964000000001</v>
      </c>
      <c r="J4">
        <f>Table14[[#This Row],[Area(ft2)]]*5/1000</f>
        <v>0.36381982000000002</v>
      </c>
      <c r="K4">
        <f>IF(Table14[[#This Row],[Max Occupancy]]&lt;1,ROUNDUP(Table14[[#This Row],[Max Occupancy]],0),ROUNDDOWN(Table14[[#This Row],[Max Occupancy]],0))</f>
        <v>1</v>
      </c>
    </row>
    <row r="5" spans="1:11" x14ac:dyDescent="0.5">
      <c r="A5" t="s">
        <v>158</v>
      </c>
      <c r="B5">
        <v>105.27</v>
      </c>
      <c r="C5">
        <f>Table15[[#This Row],[Area(m2)]]*10.7639</f>
        <v>1133.1157529999998</v>
      </c>
      <c r="D5">
        <f>Table15[[#This Row],[Area(ft2)]]*5/1000</f>
        <v>5.6655787649999994</v>
      </c>
      <c r="E5">
        <f>IF(Table15[[#This Row],[Max Occupancy]]&lt;1,ROUNDUP(Table15[[#This Row],[Max Occupancy]],0),ROUNDDOWN(Table15[[#This Row],[Max Occupancy]],0))</f>
        <v>5</v>
      </c>
      <c r="G5" t="s">
        <v>159</v>
      </c>
      <c r="H5">
        <v>87.65</v>
      </c>
      <c r="I5">
        <f>Table14[[#This Row],[Area(m2)]]*10.7639</f>
        <v>943.45583499999998</v>
      </c>
      <c r="J5">
        <f>Table14[[#This Row],[Area(ft2)]]*5/1000</f>
        <v>4.7172791749999998</v>
      </c>
      <c r="K5">
        <f>IF(Table14[[#This Row],[Max Occupancy]]&lt;1,ROUNDUP(Table14[[#This Row],[Max Occupancy]],0),ROUNDDOWN(Table14[[#This Row],[Max Occupancy]],0))</f>
        <v>4</v>
      </c>
    </row>
    <row r="6" spans="1:11" x14ac:dyDescent="0.5">
      <c r="A6" t="s">
        <v>160</v>
      </c>
      <c r="B6">
        <v>3.07</v>
      </c>
      <c r="C6">
        <f>Table15[[#This Row],[Area(m2)]]*10.7639</f>
        <v>33.045172999999998</v>
      </c>
      <c r="D6">
        <f>Table15[[#This Row],[Area(ft2)]]*5/1000</f>
        <v>0.165225865</v>
      </c>
      <c r="E6">
        <f>IF(Table15[[#This Row],[Max Occupancy]]&lt;1,ROUNDUP(Table15[[#This Row],[Max Occupancy]],0),ROUNDDOWN(Table15[[#This Row],[Max Occupancy]],0))</f>
        <v>1</v>
      </c>
      <c r="G6" t="s">
        <v>161</v>
      </c>
      <c r="H6">
        <v>146.47999999999999</v>
      </c>
      <c r="I6">
        <f>Table14[[#This Row],[Area(m2)]]*10.7639</f>
        <v>1576.6960719999997</v>
      </c>
      <c r="J6">
        <f>Table14[[#This Row],[Area(ft2)]]*5/1000</f>
        <v>7.8834803599999983</v>
      </c>
      <c r="K6">
        <f>IF(Table14[[#This Row],[Max Occupancy]]&lt;1,ROUNDUP(Table14[[#This Row],[Max Occupancy]],0),ROUNDDOWN(Table14[[#This Row],[Max Occupancy]],0))</f>
        <v>7</v>
      </c>
    </row>
    <row r="7" spans="1:11" x14ac:dyDescent="0.5">
      <c r="A7" t="s">
        <v>162</v>
      </c>
      <c r="B7">
        <v>98.2</v>
      </c>
      <c r="C7">
        <f>Table15[[#This Row],[Area(m2)]]*10.7639</f>
        <v>1057.0149799999999</v>
      </c>
      <c r="D7">
        <f>Table15[[#This Row],[Area(ft2)]]*5/1000</f>
        <v>5.2850748999999997</v>
      </c>
      <c r="E7">
        <f>IF(Table15[[#This Row],[Max Occupancy]]&lt;1,ROUNDUP(Table15[[#This Row],[Max Occupancy]],0),ROUNDDOWN(Table15[[#This Row],[Max Occupancy]],0))</f>
        <v>5</v>
      </c>
      <c r="G7" t="s">
        <v>163</v>
      </c>
      <c r="H7">
        <v>16.53</v>
      </c>
      <c r="I7">
        <f>Table14[[#This Row],[Area(m2)]]*10.7639</f>
        <v>177.927267</v>
      </c>
      <c r="J7">
        <f>Table14[[#This Row],[Area(ft2)]]*5/1000</f>
        <v>0.88963633500000006</v>
      </c>
      <c r="K7">
        <f>IF(Table14[[#This Row],[Max Occupancy]]&lt;1,ROUNDUP(Table14[[#This Row],[Max Occupancy]],0),ROUNDDOWN(Table14[[#This Row],[Max Occupancy]],0))</f>
        <v>1</v>
      </c>
    </row>
    <row r="8" spans="1:11" x14ac:dyDescent="0.5">
      <c r="A8" t="s">
        <v>164</v>
      </c>
      <c r="B8">
        <v>98.2</v>
      </c>
      <c r="C8">
        <f>Table15[[#This Row],[Area(m2)]]*10.7639</f>
        <v>1057.0149799999999</v>
      </c>
      <c r="D8">
        <f>Table15[[#This Row],[Area(ft2)]]*5/1000</f>
        <v>5.2850748999999997</v>
      </c>
      <c r="E8">
        <f>IF(Table15[[#This Row],[Max Occupancy]]&lt;1,ROUNDUP(Table15[[#This Row],[Max Occupancy]],0),ROUNDDOWN(Table15[[#This Row],[Max Occupancy]],0))</f>
        <v>5</v>
      </c>
      <c r="G8" t="s">
        <v>165</v>
      </c>
      <c r="H8">
        <v>10.210000000000001</v>
      </c>
      <c r="I8">
        <f>Table14[[#This Row],[Area(m2)]]*10.7639</f>
        <v>109.89941900000001</v>
      </c>
      <c r="J8">
        <f>Table14[[#This Row],[Area(ft2)]]*5/1000</f>
        <v>0.5494970950000001</v>
      </c>
      <c r="K8">
        <f>IF(Table14[[#This Row],[Max Occupancy]]&lt;1,ROUNDUP(Table14[[#This Row],[Max Occupancy]],0),ROUNDDOWN(Table14[[#This Row],[Max Occupancy]],0))</f>
        <v>1</v>
      </c>
    </row>
    <row r="9" spans="1:11" x14ac:dyDescent="0.5">
      <c r="A9" t="s">
        <v>166</v>
      </c>
      <c r="B9">
        <v>74.06</v>
      </c>
      <c r="C9">
        <f>Table15[[#This Row],[Area(m2)]]*10.7639</f>
        <v>797.17443400000002</v>
      </c>
      <c r="D9">
        <f>Table15[[#This Row],[Area(ft2)]]*5/1000</f>
        <v>3.9858721699999999</v>
      </c>
      <c r="E9">
        <f>IF(Table15[[#This Row],[Max Occupancy]]&lt;1,ROUNDUP(Table15[[#This Row],[Max Occupancy]],0),ROUNDDOWN(Table15[[#This Row],[Max Occupancy]],0))</f>
        <v>3</v>
      </c>
      <c r="G9" t="s">
        <v>167</v>
      </c>
      <c r="H9">
        <v>16.64</v>
      </c>
      <c r="I9">
        <f>Table14[[#This Row],[Area(m2)]]*10.7639</f>
        <v>179.11129600000001</v>
      </c>
      <c r="J9">
        <f>Table14[[#This Row],[Area(ft2)]]*5/1000</f>
        <v>0.8955564800000001</v>
      </c>
      <c r="K9">
        <f>IF(Table14[[#This Row],[Max Occupancy]]&lt;1,ROUNDUP(Table14[[#This Row],[Max Occupancy]],0),ROUNDDOWN(Table14[[#This Row],[Max Occupancy]],0))</f>
        <v>1</v>
      </c>
    </row>
    <row r="10" spans="1:11" x14ac:dyDescent="0.5">
      <c r="A10" t="s">
        <v>168</v>
      </c>
      <c r="B10">
        <v>23.95</v>
      </c>
      <c r="C10">
        <f>Table15[[#This Row],[Area(m2)]]*10.7639</f>
        <v>257.79540499999996</v>
      </c>
      <c r="D10">
        <f>Table15[[#This Row],[Area(ft2)]]*5/1000</f>
        <v>1.2889770249999997</v>
      </c>
      <c r="E10">
        <f>IF(Table15[[#This Row],[Max Occupancy]]&lt;1,ROUNDUP(Table15[[#This Row],[Max Occupancy]],0),ROUNDDOWN(Table15[[#This Row],[Max Occupancy]],0))</f>
        <v>1</v>
      </c>
      <c r="G10" t="s">
        <v>169</v>
      </c>
      <c r="H10">
        <v>23.6</v>
      </c>
      <c r="I10">
        <f>Table14[[#This Row],[Area(m2)]]*10.7639</f>
        <v>254.02804</v>
      </c>
      <c r="J10">
        <f>Table14[[#This Row],[Area(ft2)]]*5/1000</f>
        <v>1.2701401999999999</v>
      </c>
      <c r="K10">
        <f>IF(Table14[[#This Row],[Max Occupancy]]&lt;1,ROUNDUP(Table14[[#This Row],[Max Occupancy]],0),ROUNDDOWN(Table14[[#This Row],[Max Occupancy]],0))</f>
        <v>1</v>
      </c>
    </row>
    <row r="11" spans="1:11" x14ac:dyDescent="0.5">
      <c r="A11" t="s">
        <v>170</v>
      </c>
      <c r="B11">
        <v>98.2</v>
      </c>
      <c r="C11">
        <f>Table15[[#This Row],[Area(m2)]]*10.7639</f>
        <v>1057.0149799999999</v>
      </c>
      <c r="D11">
        <f>Table15[[#This Row],[Area(ft2)]]*5/1000</f>
        <v>5.2850748999999997</v>
      </c>
      <c r="E11">
        <f>IF(Table15[[#This Row],[Max Occupancy]]&lt;1,ROUNDUP(Table15[[#This Row],[Max Occupancy]],0),ROUNDDOWN(Table15[[#This Row],[Max Occupancy]],0))</f>
        <v>5</v>
      </c>
      <c r="G11" s="28" t="s">
        <v>44</v>
      </c>
      <c r="H11" s="28">
        <f>SUM(H3:H8)</f>
        <v>280.57</v>
      </c>
      <c r="I11" s="28">
        <f>SUM(I3:I8)</f>
        <v>3020.0274229999995</v>
      </c>
      <c r="J11" s="28">
        <f>SUM(J3:J8)</f>
        <v>15.100137114999997</v>
      </c>
      <c r="K11" s="28">
        <f>SUM(K3:K8)</f>
        <v>15</v>
      </c>
    </row>
    <row r="12" spans="1:11" x14ac:dyDescent="0.5">
      <c r="A12" t="s">
        <v>171</v>
      </c>
      <c r="B12">
        <v>98.2</v>
      </c>
      <c r="C12">
        <f>Table15[[#This Row],[Area(m2)]]*10.7639</f>
        <v>1057.0149799999999</v>
      </c>
      <c r="D12">
        <f>Table15[[#This Row],[Area(ft2)]]*5/1000</f>
        <v>5.2850748999999997</v>
      </c>
      <c r="E12">
        <f>IF(Table15[[#This Row],[Max Occupancy]]&lt;1,ROUNDUP(Table15[[#This Row],[Max Occupancy]],0),ROUNDDOWN(Table15[[#This Row],[Max Occupancy]],0))</f>
        <v>5</v>
      </c>
    </row>
    <row r="13" spans="1:11" x14ac:dyDescent="0.5">
      <c r="A13" t="s">
        <v>172</v>
      </c>
      <c r="B13">
        <v>99.05</v>
      </c>
      <c r="C13">
        <f>Table15[[#This Row],[Area(m2)]]*10.7639</f>
        <v>1066.164295</v>
      </c>
      <c r="D13">
        <f>Table15[[#This Row],[Area(ft2)]]*5/1000</f>
        <v>5.3308214750000005</v>
      </c>
      <c r="E13">
        <f>IF(Table15[[#This Row],[Max Occupancy]]&lt;1,ROUNDUP(Table15[[#This Row],[Max Occupancy]],0),ROUNDDOWN(Table15[[#This Row],[Max Occupancy]],0))</f>
        <v>5</v>
      </c>
    </row>
    <row r="14" spans="1:11" x14ac:dyDescent="0.5">
      <c r="A14" t="s">
        <v>173</v>
      </c>
      <c r="B14">
        <v>99.05</v>
      </c>
      <c r="C14">
        <f>Table15[[#This Row],[Area(m2)]]*10.7639</f>
        <v>1066.164295</v>
      </c>
      <c r="D14">
        <f>Table15[[#This Row],[Area(ft2)]]*5/1000</f>
        <v>5.3308214750000005</v>
      </c>
      <c r="E14">
        <f>IF(Table15[[#This Row],[Max Occupancy]]&lt;1,ROUNDUP(Table15[[#This Row],[Max Occupancy]],0),ROUNDDOWN(Table15[[#This Row],[Max Occupancy]],0))</f>
        <v>5</v>
      </c>
    </row>
    <row r="15" spans="1:11" x14ac:dyDescent="0.5">
      <c r="A15" t="s">
        <v>174</v>
      </c>
      <c r="B15">
        <v>99.05</v>
      </c>
      <c r="C15">
        <f>Table15[[#This Row],[Area(m2)]]*10.7639</f>
        <v>1066.164295</v>
      </c>
      <c r="D15">
        <f>Table15[[#This Row],[Area(ft2)]]*5/1000</f>
        <v>5.3308214750000005</v>
      </c>
      <c r="E15">
        <f>IF(Table15[[#This Row],[Max Occupancy]]&lt;1,ROUNDUP(Table15[[#This Row],[Max Occupancy]],0),ROUNDDOWN(Table15[[#This Row],[Max Occupancy]],0))</f>
        <v>5</v>
      </c>
    </row>
    <row r="16" spans="1:11" x14ac:dyDescent="0.5">
      <c r="A16" t="s">
        <v>175</v>
      </c>
      <c r="B16">
        <v>97.9</v>
      </c>
      <c r="C16">
        <f>Table15[[#This Row],[Area(m2)]]*10.7639</f>
        <v>1053.7858100000001</v>
      </c>
      <c r="D16">
        <f>Table15[[#This Row],[Area(ft2)]]*5/1000</f>
        <v>5.2689290500000006</v>
      </c>
      <c r="E16">
        <f>IF(Table15[[#This Row],[Max Occupancy]]&lt;1,ROUNDUP(Table15[[#This Row],[Max Occupancy]],0),ROUNDDOWN(Table15[[#This Row],[Max Occupancy]],0))</f>
        <v>5</v>
      </c>
    </row>
    <row r="17" spans="1:5" x14ac:dyDescent="0.5">
      <c r="A17" t="s">
        <v>176</v>
      </c>
      <c r="B17">
        <v>52.13</v>
      </c>
      <c r="C17">
        <f>Table15[[#This Row],[Area(m2)]]*10.7639</f>
        <v>561.12210700000003</v>
      </c>
      <c r="D17">
        <f>Table15[[#This Row],[Area(ft2)]]*5/1000</f>
        <v>2.8056105350000005</v>
      </c>
      <c r="E17">
        <f>IF(Table15[[#This Row],[Max Occupancy]]&lt;1,ROUNDUP(Table15[[#This Row],[Max Occupancy]],0),ROUNDDOWN(Table15[[#This Row],[Max Occupancy]],0))</f>
        <v>2</v>
      </c>
    </row>
    <row r="18" spans="1:5" x14ac:dyDescent="0.5">
      <c r="A18" s="28" t="s">
        <v>44</v>
      </c>
      <c r="B18" s="28">
        <f>SUM(B3:B17)</f>
        <v>1062.29</v>
      </c>
      <c r="C18" s="28">
        <f>SUM(C3:C17)</f>
        <v>11434.383330999999</v>
      </c>
      <c r="D18" s="28">
        <f>SUM(D3:D17)</f>
        <v>57.171916655000004</v>
      </c>
      <c r="E18" s="28">
        <f>SUM(E3:E17)</f>
        <v>54</v>
      </c>
    </row>
    <row r="21" spans="1:5" x14ac:dyDescent="0.5">
      <c r="A21" t="s">
        <v>177</v>
      </c>
    </row>
    <row r="22" spans="1:5" x14ac:dyDescent="0.5">
      <c r="A22" s="23" t="s">
        <v>2</v>
      </c>
      <c r="B22" s="24" t="s">
        <v>3</v>
      </c>
      <c r="C22" s="24" t="s">
        <v>4</v>
      </c>
      <c r="D22" s="24" t="s">
        <v>5</v>
      </c>
      <c r="E22" s="25" t="s">
        <v>6</v>
      </c>
    </row>
    <row r="23" spans="1:5" x14ac:dyDescent="0.5">
      <c r="A23" t="s">
        <v>178</v>
      </c>
      <c r="B23">
        <v>98.72</v>
      </c>
      <c r="C23">
        <f>Table16[[#This Row],[Area(m2)]]*10.7639</f>
        <v>1062.612208</v>
      </c>
      <c r="D23">
        <f>Table16[[#This Row],[Area(ft2)]]*5/1000</f>
        <v>5.3130610400000009</v>
      </c>
      <c r="E23">
        <f>IF(Table16[[#This Row],[Max Occupancy]]&lt;1,ROUNDUP(Table16[[#This Row],[Max Occupancy]],0),ROUNDDOWN(Table16[[#This Row],[Max Occupancy]],0))</f>
        <v>5</v>
      </c>
    </row>
    <row r="24" spans="1:5" x14ac:dyDescent="0.5">
      <c r="A24" t="s">
        <v>179</v>
      </c>
      <c r="B24">
        <v>99.05</v>
      </c>
      <c r="C24">
        <f>Table16[[#This Row],[Area(m2)]]*10.7639</f>
        <v>1066.164295</v>
      </c>
      <c r="D24">
        <f>Table16[[#This Row],[Area(ft2)]]*5/1000</f>
        <v>5.3308214750000005</v>
      </c>
      <c r="E24">
        <f>IF(Table16[[#This Row],[Max Occupancy]]&lt;1,ROUNDUP(Table16[[#This Row],[Max Occupancy]],0),ROUNDDOWN(Table16[[#This Row],[Max Occupancy]],0))</f>
        <v>5</v>
      </c>
    </row>
    <row r="25" spans="1:5" x14ac:dyDescent="0.5">
      <c r="A25" s="28" t="s">
        <v>44</v>
      </c>
      <c r="B25" s="28">
        <f>SUM(B23:B24)</f>
        <v>197.76999999999998</v>
      </c>
      <c r="C25" s="28">
        <f t="shared" ref="C25:E25" si="0">SUM(C23:C24)</f>
        <v>2128.776503</v>
      </c>
      <c r="D25" s="28">
        <f t="shared" si="0"/>
        <v>10.643882515000001</v>
      </c>
      <c r="E25" s="28">
        <f t="shared" si="0"/>
        <v>10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5497-A5D2-4A21-A687-623769E5571E}">
  <dimension ref="A1:K47"/>
  <sheetViews>
    <sheetView workbookViewId="0">
      <selection activeCell="J18" sqref="J18"/>
    </sheetView>
  </sheetViews>
  <sheetFormatPr defaultRowHeight="14.35" x14ac:dyDescent="0.5"/>
  <cols>
    <col min="1" max="1" width="9.1171875" customWidth="1"/>
    <col min="2" max="2" width="10.5859375" customWidth="1"/>
    <col min="3" max="3" width="10.41015625" customWidth="1"/>
    <col min="4" max="4" width="15.87890625" customWidth="1"/>
    <col min="5" max="5" width="10.41015625" customWidth="1"/>
    <col min="7" max="7" width="9.1171875" customWidth="1"/>
    <col min="8" max="8" width="10.5859375" customWidth="1"/>
    <col min="9" max="9" width="10.41015625" customWidth="1"/>
    <col min="10" max="10" width="15.87890625" customWidth="1"/>
    <col min="11" max="11" width="10.41015625" customWidth="1"/>
  </cols>
  <sheetData>
    <row r="1" spans="1:11" x14ac:dyDescent="0.5">
      <c r="A1" s="20" t="s">
        <v>0</v>
      </c>
      <c r="B1" s="20"/>
      <c r="G1" t="s">
        <v>1</v>
      </c>
    </row>
    <row r="2" spans="1:11" x14ac:dyDescent="0.5">
      <c r="A2" s="20" t="s">
        <v>2</v>
      </c>
      <c r="B2" s="20" t="s">
        <v>3</v>
      </c>
      <c r="C2" t="s">
        <v>4</v>
      </c>
      <c r="D2" t="s">
        <v>5</v>
      </c>
      <c r="E2" t="s">
        <v>6</v>
      </c>
      <c r="G2" s="23" t="s">
        <v>2</v>
      </c>
      <c r="H2" s="24" t="s">
        <v>3</v>
      </c>
      <c r="I2" s="24" t="s">
        <v>4</v>
      </c>
      <c r="J2" s="24" t="s">
        <v>5</v>
      </c>
      <c r="K2" s="25" t="s">
        <v>6</v>
      </c>
    </row>
    <row r="3" spans="1:11" x14ac:dyDescent="0.5">
      <c r="A3" t="s">
        <v>180</v>
      </c>
      <c r="B3">
        <v>15.21</v>
      </c>
      <c r="C3">
        <f>Table17[[#This Row],[Area(m2)]]*10.7639</f>
        <v>163.718919</v>
      </c>
      <c r="D3">
        <f>Table17[[#This Row],[Area(ft2)]]*5/1000</f>
        <v>0.81859459499999998</v>
      </c>
      <c r="E3">
        <f>IF(Table17[[#This Row],[Max Occupancy]]&lt;1,ROUNDUP(Table17[[#This Row],[Max Occupancy]],0),ROUNDDOWN(Table17[[#This Row],[Max Occupancy]],0))</f>
        <v>1</v>
      </c>
      <c r="G3" t="s">
        <v>181</v>
      </c>
      <c r="H3">
        <v>12.95</v>
      </c>
      <c r="I3">
        <f>Table19[[#This Row],[Area(m2)]]*10.7639</f>
        <v>139.392505</v>
      </c>
      <c r="J3">
        <f>Table19[[#This Row],[Area(ft2)]]*5/1000</f>
        <v>0.696962525</v>
      </c>
      <c r="K3">
        <f>IF(Table19[[#This Row],[Max Occupancy]]&lt;1,ROUNDUP(Table19[[#This Row],[Max Occupancy]],0),ROUNDDOWN(Table19[[#This Row],[Max Occupancy]],0))</f>
        <v>1</v>
      </c>
    </row>
    <row r="4" spans="1:11" x14ac:dyDescent="0.5">
      <c r="A4" s="28" t="s">
        <v>44</v>
      </c>
      <c r="B4" s="28">
        <f>B3</f>
        <v>15.21</v>
      </c>
      <c r="C4" s="28">
        <f>Table17[[#This Row],[Area(m2)]]*10.7639</f>
        <v>163.718919</v>
      </c>
      <c r="D4" s="28">
        <f>Table17[[#This Row],[Area(ft2)]]*5/1000</f>
        <v>0.81859459499999998</v>
      </c>
      <c r="E4" s="28">
        <f>IF(Table17[[#This Row],[Max Occupancy]]&lt;1,ROUNDUP(Table17[[#This Row],[Max Occupancy]],0),ROUNDDOWN(Table17[[#This Row],[Max Occupancy]],0))</f>
        <v>1</v>
      </c>
      <c r="G4" t="s">
        <v>182</v>
      </c>
      <c r="H4">
        <v>7.13</v>
      </c>
      <c r="I4">
        <f>Table19[[#This Row],[Area(m2)]]*10.7639</f>
        <v>76.746606999999997</v>
      </c>
      <c r="J4">
        <f>Table19[[#This Row],[Area(ft2)]]*5/1000</f>
        <v>0.383733035</v>
      </c>
      <c r="K4">
        <f>IF(Table19[[#This Row],[Max Occupancy]]&lt;1,ROUNDUP(Table19[[#This Row],[Max Occupancy]],0),ROUNDDOWN(Table19[[#This Row],[Max Occupancy]],0))</f>
        <v>1</v>
      </c>
    </row>
    <row r="5" spans="1:11" x14ac:dyDescent="0.5">
      <c r="G5" t="s">
        <v>183</v>
      </c>
      <c r="H5">
        <v>6.58</v>
      </c>
      <c r="I5">
        <f>Table19[[#This Row],[Area(m2)]]*10.7639</f>
        <v>70.826461999999992</v>
      </c>
      <c r="J5">
        <f>Table19[[#This Row],[Area(ft2)]]*5/1000</f>
        <v>0.35413230999999995</v>
      </c>
      <c r="K5">
        <f>IF(Table19[[#This Row],[Max Occupancy]]&lt;1,ROUNDUP(Table19[[#This Row],[Max Occupancy]],0),ROUNDDOWN(Table19[[#This Row],[Max Occupancy]],0))</f>
        <v>1</v>
      </c>
    </row>
    <row r="6" spans="1:11" x14ac:dyDescent="0.5">
      <c r="G6" t="s">
        <v>184</v>
      </c>
      <c r="H6">
        <v>7.9</v>
      </c>
      <c r="I6">
        <f>Table19[[#This Row],[Area(m2)]]*10.7639</f>
        <v>85.034810000000007</v>
      </c>
      <c r="J6">
        <f>Table19[[#This Row],[Area(ft2)]]*5/1000</f>
        <v>0.42517405000000003</v>
      </c>
      <c r="K6">
        <f>IF(Table19[[#This Row],[Max Occupancy]]&lt;1,ROUNDUP(Table19[[#This Row],[Max Occupancy]],0),ROUNDDOWN(Table19[[#This Row],[Max Occupancy]],0))</f>
        <v>1</v>
      </c>
    </row>
    <row r="7" spans="1:11" x14ac:dyDescent="0.5">
      <c r="A7" t="s">
        <v>153</v>
      </c>
      <c r="G7" t="s">
        <v>185</v>
      </c>
      <c r="H7">
        <v>60.14</v>
      </c>
      <c r="I7">
        <f>Table19[[#This Row],[Area(m2)]]*10.7639</f>
        <v>647.34094600000003</v>
      </c>
      <c r="J7">
        <f>Table19[[#This Row],[Area(ft2)]]*5/1000</f>
        <v>3.2367047300000005</v>
      </c>
      <c r="K7">
        <f>IF(Table19[[#This Row],[Max Occupancy]]&lt;1,ROUNDUP(Table19[[#This Row],[Max Occupancy]],0),ROUNDDOWN(Table19[[#This Row],[Max Occupancy]],0))</f>
        <v>3</v>
      </c>
    </row>
    <row r="8" spans="1:11" x14ac:dyDescent="0.5">
      <c r="A8" s="23" t="s">
        <v>2</v>
      </c>
      <c r="B8" s="24" t="s">
        <v>3</v>
      </c>
      <c r="C8" s="24" t="s">
        <v>4</v>
      </c>
      <c r="D8" s="24" t="s">
        <v>5</v>
      </c>
      <c r="E8" s="25" t="s">
        <v>6</v>
      </c>
      <c r="G8" t="s">
        <v>186</v>
      </c>
      <c r="H8">
        <v>7.98</v>
      </c>
      <c r="I8">
        <f>Table19[[#This Row],[Area(m2)]]*10.7639</f>
        <v>85.895921999999999</v>
      </c>
      <c r="J8">
        <f>Table19[[#This Row],[Area(ft2)]]*5/1000</f>
        <v>0.42947960999999996</v>
      </c>
      <c r="K8">
        <f>IF(Table19[[#This Row],[Max Occupancy]]&lt;1,ROUNDUP(Table19[[#This Row],[Max Occupancy]],0),ROUNDDOWN(Table19[[#This Row],[Max Occupancy]],0))</f>
        <v>1</v>
      </c>
    </row>
    <row r="9" spans="1:11" x14ac:dyDescent="0.5">
      <c r="A9" t="s">
        <v>187</v>
      </c>
      <c r="B9">
        <v>103.4</v>
      </c>
      <c r="C9">
        <f>Table18[[#This Row],[Area(m2)]]*10.7639</f>
        <v>1112.9872600000001</v>
      </c>
      <c r="D9">
        <f>Table18[[#This Row],[Area(ft2)]]*5/1000</f>
        <v>5.5649363000000003</v>
      </c>
      <c r="E9">
        <f>IF(Table18[[#This Row],[Max Occupancy]]&lt;1,ROUNDUP(Table18[[#This Row],[Max Occupancy]],0),ROUNDDOWN(Table18[[#This Row],[Max Occupancy]],0))</f>
        <v>5</v>
      </c>
      <c r="G9" t="s">
        <v>188</v>
      </c>
      <c r="H9">
        <v>57.39</v>
      </c>
      <c r="I9">
        <f>Table19[[#This Row],[Area(m2)]]*10.7639</f>
        <v>617.74022100000002</v>
      </c>
      <c r="J9">
        <f>Table19[[#This Row],[Area(ft2)]]*5/1000</f>
        <v>3.0887011050000002</v>
      </c>
      <c r="K9">
        <f>IF(Table19[[#This Row],[Max Occupancy]]&lt;1,ROUNDUP(Table19[[#This Row],[Max Occupancy]],0),ROUNDDOWN(Table19[[#This Row],[Max Occupancy]],0))</f>
        <v>3</v>
      </c>
    </row>
    <row r="10" spans="1:11" x14ac:dyDescent="0.5">
      <c r="A10" t="s">
        <v>189</v>
      </c>
      <c r="B10">
        <v>11.78</v>
      </c>
      <c r="C10">
        <f>Table18[[#This Row],[Area(m2)]]*10.7639</f>
        <v>126.79874199999999</v>
      </c>
      <c r="D10">
        <f>Table18[[#This Row],[Area(ft2)]]*5/1000</f>
        <v>0.63399370999999993</v>
      </c>
      <c r="E10">
        <f>IF(Table18[[#This Row],[Max Occupancy]]&lt;1,ROUNDUP(Table18[[#This Row],[Max Occupancy]],0),ROUNDDOWN(Table18[[#This Row],[Max Occupancy]],0))</f>
        <v>1</v>
      </c>
      <c r="G10" s="28" t="s">
        <v>44</v>
      </c>
      <c r="H10" s="28">
        <f>SUM(H3:H9)</f>
        <v>160.07</v>
      </c>
      <c r="I10" s="28">
        <f t="shared" ref="I10:K10" si="0">SUM(I3:I9)</f>
        <v>1722.9774729999999</v>
      </c>
      <c r="J10" s="28">
        <f t="shared" si="0"/>
        <v>8.6148873650000013</v>
      </c>
      <c r="K10" s="28">
        <f t="shared" si="0"/>
        <v>11</v>
      </c>
    </row>
    <row r="11" spans="1:11" x14ac:dyDescent="0.5">
      <c r="A11" t="s">
        <v>190</v>
      </c>
      <c r="B11">
        <v>22.19</v>
      </c>
      <c r="C11">
        <f>Table18[[#This Row],[Area(m2)]]*10.7639</f>
        <v>238.85094100000001</v>
      </c>
      <c r="D11">
        <f>Table18[[#This Row],[Area(ft2)]]*5/1000</f>
        <v>1.1942547050000001</v>
      </c>
      <c r="E11">
        <f>IF(Table18[[#This Row],[Max Occupancy]]&lt;1,ROUNDUP(Table18[[#This Row],[Max Occupancy]],0),ROUNDDOWN(Table18[[#This Row],[Max Occupancy]],0))</f>
        <v>1</v>
      </c>
    </row>
    <row r="12" spans="1:11" x14ac:dyDescent="0.5">
      <c r="A12" t="s">
        <v>191</v>
      </c>
      <c r="B12">
        <v>51.19</v>
      </c>
      <c r="C12">
        <f>Table18[[#This Row],[Area(m2)]]*10.7639</f>
        <v>551.00404099999992</v>
      </c>
      <c r="D12">
        <f>Table18[[#This Row],[Area(ft2)]]*5/1000</f>
        <v>2.7550202049999997</v>
      </c>
      <c r="E12">
        <f>IF(Table18[[#This Row],[Max Occupancy]]&lt;1,ROUNDUP(Table18[[#This Row],[Max Occupancy]],0),ROUNDDOWN(Table18[[#This Row],[Max Occupancy]],0))</f>
        <v>2</v>
      </c>
    </row>
    <row r="13" spans="1:11" x14ac:dyDescent="0.5">
      <c r="A13" t="s">
        <v>192</v>
      </c>
      <c r="B13">
        <v>11.16</v>
      </c>
      <c r="C13">
        <f>Table18[[#This Row],[Area(m2)]]*10.7639</f>
        <v>120.125124</v>
      </c>
      <c r="D13">
        <f>Table18[[#This Row],[Area(ft2)]]*5/1000</f>
        <v>0.60062561999999997</v>
      </c>
      <c r="E13">
        <f>IF(Table18[[#This Row],[Max Occupancy]]&lt;1,ROUNDUP(Table18[[#This Row],[Max Occupancy]],0),ROUNDDOWN(Table18[[#This Row],[Max Occupancy]],0))</f>
        <v>1</v>
      </c>
      <c r="G13" t="s">
        <v>177</v>
      </c>
    </row>
    <row r="14" spans="1:11" x14ac:dyDescent="0.5">
      <c r="A14" t="s">
        <v>193</v>
      </c>
      <c r="B14">
        <v>97.9</v>
      </c>
      <c r="C14">
        <f>Table18[[#This Row],[Area(m2)]]*10.7639</f>
        <v>1053.7858100000001</v>
      </c>
      <c r="D14">
        <f>Table18[[#This Row],[Area(ft2)]]*5/1000</f>
        <v>5.2689290500000006</v>
      </c>
      <c r="E14">
        <f>IF(Table18[[#This Row],[Max Occupancy]]&lt;1,ROUNDUP(Table18[[#This Row],[Max Occupancy]],0),ROUNDDOWN(Table18[[#This Row],[Max Occupancy]],0))</f>
        <v>5</v>
      </c>
      <c r="G14" s="23" t="s">
        <v>2</v>
      </c>
      <c r="H14" s="24" t="s">
        <v>3</v>
      </c>
      <c r="I14" s="24" t="s">
        <v>4</v>
      </c>
      <c r="J14" s="24" t="s">
        <v>5</v>
      </c>
      <c r="K14" s="25" t="s">
        <v>6</v>
      </c>
    </row>
    <row r="15" spans="1:11" x14ac:dyDescent="0.5">
      <c r="A15" t="s">
        <v>194</v>
      </c>
      <c r="B15">
        <v>85.72</v>
      </c>
      <c r="C15">
        <f>Table18[[#This Row],[Area(m2)]]*10.7639</f>
        <v>922.68150800000001</v>
      </c>
      <c r="D15">
        <f>Table18[[#This Row],[Area(ft2)]]*5/1000</f>
        <v>4.6134075399999999</v>
      </c>
      <c r="E15">
        <f>IF(Table18[[#This Row],[Max Occupancy]]&lt;1,ROUNDUP(Table18[[#This Row],[Max Occupancy]],0),ROUNDDOWN(Table18[[#This Row],[Max Occupancy]],0))</f>
        <v>4</v>
      </c>
      <c r="G15" t="s">
        <v>195</v>
      </c>
      <c r="H15">
        <v>99.79</v>
      </c>
      <c r="I15">
        <f>Table20[[#This Row],[Area(m2)]]*10.7639</f>
        <v>1074.1295809999999</v>
      </c>
      <c r="J15">
        <f>Table20[[#This Row],[Area(ft2)]]*5/1000</f>
        <v>5.3706479050000002</v>
      </c>
      <c r="K15">
        <f>IF(Table20[[#This Row],[Max Occupancy]]&lt;1,ROUNDUP(Table20[[#This Row],[Max Occupancy]],0),ROUNDDOWN(Table20[[#This Row],[Max Occupancy]],0))</f>
        <v>5</v>
      </c>
    </row>
    <row r="16" spans="1:11" x14ac:dyDescent="0.5">
      <c r="A16" t="s">
        <v>196</v>
      </c>
      <c r="B16">
        <v>74.05</v>
      </c>
      <c r="C16">
        <f>Table18[[#This Row],[Area(m2)]]*10.7639</f>
        <v>797.06679499999996</v>
      </c>
      <c r="D16">
        <f>Table18[[#This Row],[Area(ft2)]]*5/1000</f>
        <v>3.9853339749999996</v>
      </c>
      <c r="E16">
        <f>IF(Table18[[#This Row],[Max Occupancy]]&lt;1,ROUNDUP(Table18[[#This Row],[Max Occupancy]],0),ROUNDDOWN(Table18[[#This Row],[Max Occupancy]],0))</f>
        <v>3</v>
      </c>
      <c r="G16" s="28" t="s">
        <v>44</v>
      </c>
      <c r="H16" s="28">
        <f>SUM(H15)</f>
        <v>99.79</v>
      </c>
      <c r="I16" s="28">
        <f t="shared" ref="I16:K16" si="1">SUM(I15)</f>
        <v>1074.1295809999999</v>
      </c>
      <c r="J16" s="28">
        <f t="shared" si="1"/>
        <v>5.3706479050000002</v>
      </c>
      <c r="K16" s="28">
        <f t="shared" si="1"/>
        <v>5</v>
      </c>
    </row>
    <row r="17" spans="1:5" x14ac:dyDescent="0.5">
      <c r="A17" t="s">
        <v>197</v>
      </c>
      <c r="B17">
        <v>10.08</v>
      </c>
      <c r="C17">
        <f>Table18[[#This Row],[Area(m2)]]*10.7639</f>
        <v>108.500112</v>
      </c>
      <c r="D17">
        <f>Table18[[#This Row],[Area(ft2)]]*5/1000</f>
        <v>0.54250055999999991</v>
      </c>
      <c r="E17">
        <f>IF(Table18[[#This Row],[Max Occupancy]]&lt;1,ROUNDUP(Table18[[#This Row],[Max Occupancy]],0),ROUNDDOWN(Table18[[#This Row],[Max Occupancy]],0))</f>
        <v>1</v>
      </c>
    </row>
    <row r="18" spans="1:5" x14ac:dyDescent="0.5">
      <c r="A18" t="s">
        <v>198</v>
      </c>
      <c r="B18">
        <v>6.69</v>
      </c>
      <c r="C18">
        <f>Table18[[#This Row],[Area(m2)]]*10.7639</f>
        <v>72.010491000000002</v>
      </c>
      <c r="D18">
        <f>Table18[[#This Row],[Area(ft2)]]*5/1000</f>
        <v>0.36005245499999999</v>
      </c>
      <c r="E18">
        <f>IF(Table18[[#This Row],[Max Occupancy]]&lt;1,ROUNDUP(Table18[[#This Row],[Max Occupancy]],0),ROUNDDOWN(Table18[[#This Row],[Max Occupancy]],0))</f>
        <v>1</v>
      </c>
    </row>
    <row r="19" spans="1:5" x14ac:dyDescent="0.5">
      <c r="A19" t="s">
        <v>199</v>
      </c>
      <c r="B19">
        <v>6.69</v>
      </c>
      <c r="C19">
        <f>Table18[[#This Row],[Area(m2)]]*10.7639</f>
        <v>72.010491000000002</v>
      </c>
      <c r="D19">
        <f>Table18[[#This Row],[Area(ft2)]]*5/1000</f>
        <v>0.36005245499999999</v>
      </c>
      <c r="E19">
        <f>IF(Table18[[#This Row],[Max Occupancy]]&lt;1,ROUNDUP(Table18[[#This Row],[Max Occupancy]],0),ROUNDDOWN(Table18[[#This Row],[Max Occupancy]],0))</f>
        <v>1</v>
      </c>
    </row>
    <row r="20" spans="1:5" x14ac:dyDescent="0.5">
      <c r="A20" t="s">
        <v>200</v>
      </c>
      <c r="B20">
        <v>20.86</v>
      </c>
      <c r="C20">
        <f>Table18[[#This Row],[Area(m2)]]*10.7639</f>
        <v>224.534954</v>
      </c>
      <c r="D20">
        <f>Table18[[#This Row],[Area(ft2)]]*5/1000</f>
        <v>1.1226747700000002</v>
      </c>
      <c r="E20">
        <f>IF(Table18[[#This Row],[Max Occupancy]]&lt;1,ROUNDUP(Table18[[#This Row],[Max Occupancy]],0),ROUNDDOWN(Table18[[#This Row],[Max Occupancy]],0))</f>
        <v>1</v>
      </c>
    </row>
    <row r="21" spans="1:5" x14ac:dyDescent="0.5">
      <c r="A21" t="s">
        <v>201</v>
      </c>
      <c r="B21">
        <v>78.42</v>
      </c>
      <c r="C21">
        <f>Table18[[#This Row],[Area(m2)]]*10.7639</f>
        <v>844.10503800000004</v>
      </c>
      <c r="D21">
        <f>Table18[[#This Row],[Area(ft2)]]*5/1000</f>
        <v>4.22052519</v>
      </c>
      <c r="E21">
        <f>IF(Table18[[#This Row],[Max Occupancy]]&lt;1,ROUNDUP(Table18[[#This Row],[Max Occupancy]],0),ROUNDDOWN(Table18[[#This Row],[Max Occupancy]],0))</f>
        <v>4</v>
      </c>
    </row>
    <row r="22" spans="1:5" x14ac:dyDescent="0.5">
      <c r="A22" t="s">
        <v>202</v>
      </c>
      <c r="B22">
        <v>20.75</v>
      </c>
      <c r="C22">
        <f>Table18[[#This Row],[Area(m2)]]*10.7639</f>
        <v>223.35092499999999</v>
      </c>
      <c r="D22">
        <f>Table18[[#This Row],[Area(ft2)]]*5/1000</f>
        <v>1.116754625</v>
      </c>
      <c r="E22">
        <f>IF(Table18[[#This Row],[Max Occupancy]]&lt;1,ROUNDUP(Table18[[#This Row],[Max Occupancy]],0),ROUNDDOWN(Table18[[#This Row],[Max Occupancy]],0))</f>
        <v>1</v>
      </c>
    </row>
    <row r="23" spans="1:5" x14ac:dyDescent="0.5">
      <c r="A23" t="s">
        <v>203</v>
      </c>
      <c r="B23">
        <v>2.82</v>
      </c>
      <c r="C23">
        <f>Table18[[#This Row],[Area(m2)]]*10.7639</f>
        <v>30.354197999999997</v>
      </c>
      <c r="D23">
        <f>Table18[[#This Row],[Area(ft2)]]*5/1000</f>
        <v>0.15177098999999999</v>
      </c>
      <c r="E23">
        <f>IF(Table18[[#This Row],[Max Occupancy]]&lt;1,ROUNDUP(Table18[[#This Row],[Max Occupancy]],0),ROUNDDOWN(Table18[[#This Row],[Max Occupancy]],0))</f>
        <v>1</v>
      </c>
    </row>
    <row r="24" spans="1:5" x14ac:dyDescent="0.5">
      <c r="A24" t="s">
        <v>204</v>
      </c>
      <c r="B24">
        <v>7.21</v>
      </c>
      <c r="C24">
        <f>Table18[[#This Row],[Area(m2)]]*10.7639</f>
        <v>77.607719000000003</v>
      </c>
      <c r="D24">
        <f>Table18[[#This Row],[Area(ft2)]]*5/1000</f>
        <v>0.38803859499999999</v>
      </c>
      <c r="E24">
        <f>IF(Table18[[#This Row],[Max Occupancy]]&lt;1,ROUNDUP(Table18[[#This Row],[Max Occupancy]],0),ROUNDDOWN(Table18[[#This Row],[Max Occupancy]],0))</f>
        <v>1</v>
      </c>
    </row>
    <row r="25" spans="1:5" x14ac:dyDescent="0.5">
      <c r="A25" t="s">
        <v>205</v>
      </c>
      <c r="B25">
        <v>51.65</v>
      </c>
      <c r="C25">
        <f>Table18[[#This Row],[Area(m2)]]*10.7639</f>
        <v>555.95543499999997</v>
      </c>
      <c r="D25">
        <f>Table18[[#This Row],[Area(ft2)]]*5/1000</f>
        <v>2.7797771749999995</v>
      </c>
      <c r="E25">
        <f>IF(Table18[[#This Row],[Max Occupancy]]&lt;1,ROUNDUP(Table18[[#This Row],[Max Occupancy]],0),ROUNDDOWN(Table18[[#This Row],[Max Occupancy]],0))</f>
        <v>2</v>
      </c>
    </row>
    <row r="26" spans="1:5" x14ac:dyDescent="0.5">
      <c r="A26" t="s">
        <v>206</v>
      </c>
      <c r="B26">
        <v>7.21</v>
      </c>
      <c r="C26">
        <f>Table18[[#This Row],[Area(m2)]]*10.7639</f>
        <v>77.607719000000003</v>
      </c>
      <c r="D26">
        <f>Table18[[#This Row],[Area(ft2)]]*5/1000</f>
        <v>0.38803859499999999</v>
      </c>
      <c r="E26">
        <f>IF(Table18[[#This Row],[Max Occupancy]]&lt;1,ROUNDUP(Table18[[#This Row],[Max Occupancy]],0),ROUNDDOWN(Table18[[#This Row],[Max Occupancy]],0))</f>
        <v>1</v>
      </c>
    </row>
    <row r="27" spans="1:5" x14ac:dyDescent="0.5">
      <c r="A27" t="s">
        <v>207</v>
      </c>
      <c r="B27">
        <v>7.89</v>
      </c>
      <c r="C27">
        <f>Table18[[#This Row],[Area(m2)]]*10.7639</f>
        <v>84.927170999999987</v>
      </c>
      <c r="D27">
        <f>Table18[[#This Row],[Area(ft2)]]*5/1000</f>
        <v>0.42463585499999995</v>
      </c>
      <c r="E27">
        <f>IF(Table18[[#This Row],[Max Occupancy]]&lt;1,ROUNDUP(Table18[[#This Row],[Max Occupancy]],0),ROUNDDOWN(Table18[[#This Row],[Max Occupancy]],0))</f>
        <v>1</v>
      </c>
    </row>
    <row r="28" spans="1:5" x14ac:dyDescent="0.5">
      <c r="A28" t="s">
        <v>208</v>
      </c>
      <c r="B28">
        <v>90.98</v>
      </c>
      <c r="C28">
        <f>Table18[[#This Row],[Area(m2)]]*10.7639</f>
        <v>979.299622</v>
      </c>
      <c r="D28">
        <f>Table18[[#This Row],[Area(ft2)]]*5/1000</f>
        <v>4.8964981100000005</v>
      </c>
      <c r="E28">
        <f>IF(Table18[[#This Row],[Max Occupancy]]&lt;1,ROUNDUP(Table18[[#This Row],[Max Occupancy]],0),ROUNDDOWN(Table18[[#This Row],[Max Occupancy]],0))</f>
        <v>4</v>
      </c>
    </row>
    <row r="29" spans="1:5" x14ac:dyDescent="0.5">
      <c r="A29" t="s">
        <v>209</v>
      </c>
      <c r="B29">
        <v>5.0199999999999996</v>
      </c>
      <c r="C29">
        <f>Table18[[#This Row],[Area(m2)]]*10.7639</f>
        <v>54.034777999999996</v>
      </c>
      <c r="D29">
        <f>Table18[[#This Row],[Area(ft2)]]*5/1000</f>
        <v>0.27017388999999997</v>
      </c>
      <c r="E29">
        <f>IF(Table18[[#This Row],[Max Occupancy]]&lt;1,ROUNDUP(Table18[[#This Row],[Max Occupancy]],0),ROUNDDOWN(Table18[[#This Row],[Max Occupancy]],0))</f>
        <v>1</v>
      </c>
    </row>
    <row r="30" spans="1:5" x14ac:dyDescent="0.5">
      <c r="A30" t="s">
        <v>210</v>
      </c>
      <c r="B30">
        <v>3.02</v>
      </c>
      <c r="C30">
        <f>Table18[[#This Row],[Area(m2)]]*10.7639</f>
        <v>32.506977999999997</v>
      </c>
      <c r="D30">
        <f>Table18[[#This Row],[Area(ft2)]]*5/1000</f>
        <v>0.16253488999999999</v>
      </c>
      <c r="E30">
        <f>IF(Table18[[#This Row],[Max Occupancy]]&lt;1,ROUNDUP(Table18[[#This Row],[Max Occupancy]],0),ROUNDDOWN(Table18[[#This Row],[Max Occupancy]],0))</f>
        <v>1</v>
      </c>
    </row>
    <row r="31" spans="1:5" x14ac:dyDescent="0.5">
      <c r="A31" t="s">
        <v>211</v>
      </c>
      <c r="B31">
        <v>73.42</v>
      </c>
      <c r="C31">
        <f>Table18[[#This Row],[Area(m2)]]*10.7639</f>
        <v>790.28553799999997</v>
      </c>
      <c r="D31">
        <f>Table18[[#This Row],[Area(ft2)]]*5/1000</f>
        <v>3.95142769</v>
      </c>
      <c r="E31">
        <f>IF(Table18[[#This Row],[Max Occupancy]]&lt;1,ROUNDUP(Table18[[#This Row],[Max Occupancy]],0),ROUNDDOWN(Table18[[#This Row],[Max Occupancy]],0))</f>
        <v>3</v>
      </c>
    </row>
    <row r="32" spans="1:5" x14ac:dyDescent="0.5">
      <c r="A32" t="s">
        <v>212</v>
      </c>
      <c r="B32">
        <v>9.17</v>
      </c>
      <c r="C32">
        <f>Table18[[#This Row],[Area(m2)]]*10.7639</f>
        <v>98.704962999999992</v>
      </c>
      <c r="D32">
        <f>Table18[[#This Row],[Area(ft2)]]*5/1000</f>
        <v>0.49352481500000001</v>
      </c>
      <c r="E32">
        <f>IF(Table18[[#This Row],[Max Occupancy]]&lt;1,ROUNDUP(Table18[[#This Row],[Max Occupancy]],0),ROUNDDOWN(Table18[[#This Row],[Max Occupancy]],0))</f>
        <v>1</v>
      </c>
    </row>
    <row r="33" spans="1:5" x14ac:dyDescent="0.5">
      <c r="A33" t="s">
        <v>213</v>
      </c>
      <c r="B33">
        <v>5.0199999999999996</v>
      </c>
      <c r="C33">
        <f>Table18[[#This Row],[Area(m2)]]*10.7639</f>
        <v>54.034777999999996</v>
      </c>
      <c r="D33">
        <f>Table18[[#This Row],[Area(ft2)]]*5/1000</f>
        <v>0.27017388999999997</v>
      </c>
      <c r="E33">
        <f>IF(Table18[[#This Row],[Max Occupancy]]&lt;1,ROUNDUP(Table18[[#This Row],[Max Occupancy]],0),ROUNDDOWN(Table18[[#This Row],[Max Occupancy]],0))</f>
        <v>1</v>
      </c>
    </row>
    <row r="34" spans="1:5" x14ac:dyDescent="0.5">
      <c r="A34" t="s">
        <v>214</v>
      </c>
      <c r="B34">
        <v>5.0199999999999996</v>
      </c>
      <c r="C34">
        <f>Table18[[#This Row],[Area(m2)]]*10.7639</f>
        <v>54.034777999999996</v>
      </c>
      <c r="D34">
        <f>Table18[[#This Row],[Area(ft2)]]*5/1000</f>
        <v>0.27017388999999997</v>
      </c>
      <c r="E34">
        <f>IF(Table18[[#This Row],[Max Occupancy]]&lt;1,ROUNDUP(Table18[[#This Row],[Max Occupancy]],0),ROUNDDOWN(Table18[[#This Row],[Max Occupancy]],0))</f>
        <v>1</v>
      </c>
    </row>
    <row r="35" spans="1:5" x14ac:dyDescent="0.5">
      <c r="A35" t="s">
        <v>215</v>
      </c>
      <c r="B35">
        <v>4.18</v>
      </c>
      <c r="C35">
        <f>Table18[[#This Row],[Area(m2)]]*10.7639</f>
        <v>44.993101999999993</v>
      </c>
      <c r="D35">
        <f>Table18[[#This Row],[Area(ft2)]]*5/1000</f>
        <v>0.22496550999999998</v>
      </c>
      <c r="E35">
        <f>IF(Table18[[#This Row],[Max Occupancy]]&lt;1,ROUNDUP(Table18[[#This Row],[Max Occupancy]],0),ROUNDDOWN(Table18[[#This Row],[Max Occupancy]],0))</f>
        <v>1</v>
      </c>
    </row>
    <row r="36" spans="1:5" x14ac:dyDescent="0.5">
      <c r="A36" t="s">
        <v>216</v>
      </c>
      <c r="B36">
        <v>98.94</v>
      </c>
      <c r="C36">
        <f>Table18[[#This Row],[Area(m2)]]*10.7639</f>
        <v>1064.980266</v>
      </c>
      <c r="D36">
        <f>Table18[[#This Row],[Area(ft2)]]*5/1000</f>
        <v>5.3249013300000003</v>
      </c>
      <c r="E36">
        <f>IF(Table18[[#This Row],[Max Occupancy]]&lt;1,ROUNDUP(Table18[[#This Row],[Max Occupancy]],0),ROUNDDOWN(Table18[[#This Row],[Max Occupancy]],0))</f>
        <v>5</v>
      </c>
    </row>
    <row r="37" spans="1:5" x14ac:dyDescent="0.5">
      <c r="A37" t="s">
        <v>217</v>
      </c>
      <c r="B37">
        <v>34.57</v>
      </c>
      <c r="C37">
        <f>Table18[[#This Row],[Area(m2)]]*10.7639</f>
        <v>372.108023</v>
      </c>
      <c r="D37">
        <f>Table18[[#This Row],[Area(ft2)]]*5/1000</f>
        <v>1.860540115</v>
      </c>
      <c r="E37">
        <f>IF(Table18[[#This Row],[Max Occupancy]]&lt;1,ROUNDUP(Table18[[#This Row],[Max Occupancy]],0),ROUNDDOWN(Table18[[#This Row],[Max Occupancy]],0))</f>
        <v>1</v>
      </c>
    </row>
    <row r="38" spans="1:5" x14ac:dyDescent="0.5">
      <c r="A38" t="s">
        <v>218</v>
      </c>
      <c r="B38">
        <v>88.32</v>
      </c>
      <c r="C38">
        <f>Table18[[#This Row],[Area(m2)]]*10.7639</f>
        <v>950.66764799999987</v>
      </c>
      <c r="D38">
        <f>Table18[[#This Row],[Area(ft2)]]*5/1000</f>
        <v>4.7533382399999988</v>
      </c>
      <c r="E38">
        <f>IF(Table18[[#This Row],[Max Occupancy]]&lt;1,ROUNDUP(Table18[[#This Row],[Max Occupancy]],0),ROUNDDOWN(Table18[[#This Row],[Max Occupancy]],0))</f>
        <v>4</v>
      </c>
    </row>
    <row r="39" spans="1:5" x14ac:dyDescent="0.5">
      <c r="A39" t="s">
        <v>219</v>
      </c>
      <c r="B39">
        <v>5.01</v>
      </c>
      <c r="C39">
        <f>Table18[[#This Row],[Area(m2)]]*10.7639</f>
        <v>53.927138999999997</v>
      </c>
      <c r="D39">
        <f>Table18[[#This Row],[Area(ft2)]]*5/1000</f>
        <v>0.26963569500000001</v>
      </c>
      <c r="E39">
        <f>IF(Table18[[#This Row],[Max Occupancy]]&lt;1,ROUNDUP(Table18[[#This Row],[Max Occupancy]],0),ROUNDDOWN(Table18[[#This Row],[Max Occupancy]],0))</f>
        <v>1</v>
      </c>
    </row>
    <row r="40" spans="1:5" x14ac:dyDescent="0.5">
      <c r="A40" t="s">
        <v>220</v>
      </c>
      <c r="B40">
        <v>4.97</v>
      </c>
      <c r="C40">
        <f>Table18[[#This Row],[Area(m2)]]*10.7639</f>
        <v>53.496582999999994</v>
      </c>
      <c r="D40">
        <f>Table18[[#This Row],[Area(ft2)]]*5/1000</f>
        <v>0.26748291499999999</v>
      </c>
      <c r="E40">
        <f>IF(Table18[[#This Row],[Max Occupancy]]&lt;1,ROUNDUP(Table18[[#This Row],[Max Occupancy]],0),ROUNDDOWN(Table18[[#This Row],[Max Occupancy]],0))</f>
        <v>1</v>
      </c>
    </row>
    <row r="41" spans="1:5" x14ac:dyDescent="0.5">
      <c r="A41" t="s">
        <v>221</v>
      </c>
      <c r="B41">
        <v>88.32</v>
      </c>
      <c r="C41">
        <f>Table18[[#This Row],[Area(m2)]]*10.7639</f>
        <v>950.66764799999987</v>
      </c>
      <c r="D41">
        <f>Table18[[#This Row],[Area(ft2)]]*5/1000</f>
        <v>4.7533382399999988</v>
      </c>
      <c r="E41">
        <f>IF(Table18[[#This Row],[Max Occupancy]]&lt;1,ROUNDUP(Table18[[#This Row],[Max Occupancy]],0),ROUNDDOWN(Table18[[#This Row],[Max Occupancy]],0))</f>
        <v>4</v>
      </c>
    </row>
    <row r="42" spans="1:5" x14ac:dyDescent="0.5">
      <c r="A42" t="s">
        <v>222</v>
      </c>
      <c r="B42">
        <v>5.01</v>
      </c>
      <c r="C42">
        <f>Table18[[#This Row],[Area(m2)]]*10.7639</f>
        <v>53.927138999999997</v>
      </c>
      <c r="D42">
        <f>Table18[[#This Row],[Area(ft2)]]*5/1000</f>
        <v>0.26963569500000001</v>
      </c>
      <c r="E42">
        <f>IF(Table18[[#This Row],[Max Occupancy]]&lt;1,ROUNDUP(Table18[[#This Row],[Max Occupancy]],0),ROUNDDOWN(Table18[[#This Row],[Max Occupancy]],0))</f>
        <v>1</v>
      </c>
    </row>
    <row r="43" spans="1:5" x14ac:dyDescent="0.5">
      <c r="A43" t="s">
        <v>223</v>
      </c>
      <c r="B43">
        <v>4.97</v>
      </c>
      <c r="C43">
        <f>Table18[[#This Row],[Area(m2)]]*10.7639</f>
        <v>53.496582999999994</v>
      </c>
      <c r="D43">
        <f>Table18[[#This Row],[Area(ft2)]]*5/1000</f>
        <v>0.26748291499999999</v>
      </c>
      <c r="E43">
        <f>IF(Table18[[#This Row],[Max Occupancy]]&lt;1,ROUNDUP(Table18[[#This Row],[Max Occupancy]],0),ROUNDDOWN(Table18[[#This Row],[Max Occupancy]],0))</f>
        <v>1</v>
      </c>
    </row>
    <row r="44" spans="1:5" x14ac:dyDescent="0.5">
      <c r="A44" t="s">
        <v>224</v>
      </c>
      <c r="B44">
        <v>88.64</v>
      </c>
      <c r="C44">
        <f>Table18[[#This Row],[Area(m2)]]*10.7639</f>
        <v>954.11209599999995</v>
      </c>
      <c r="D44">
        <f>Table18[[#This Row],[Area(ft2)]]*5/1000</f>
        <v>4.7705604800000003</v>
      </c>
      <c r="E44">
        <f>IF(Table18[[#This Row],[Max Occupancy]]&lt;1,ROUNDUP(Table18[[#This Row],[Max Occupancy]],0),ROUNDDOWN(Table18[[#This Row],[Max Occupancy]],0))</f>
        <v>4</v>
      </c>
    </row>
    <row r="45" spans="1:5" x14ac:dyDescent="0.5">
      <c r="A45" t="s">
        <v>225</v>
      </c>
      <c r="B45">
        <v>5.01</v>
      </c>
      <c r="C45">
        <f>Table18[[#This Row],[Area(m2)]]*10.7639</f>
        <v>53.927138999999997</v>
      </c>
      <c r="D45">
        <f>Table18[[#This Row],[Area(ft2)]]*5/1000</f>
        <v>0.26963569500000001</v>
      </c>
      <c r="E45">
        <f>IF(Table18[[#This Row],[Max Occupancy]]&lt;1,ROUNDUP(Table18[[#This Row],[Max Occupancy]],0),ROUNDDOWN(Table18[[#This Row],[Max Occupancy]],0))</f>
        <v>1</v>
      </c>
    </row>
    <row r="46" spans="1:5" x14ac:dyDescent="0.5">
      <c r="A46" t="s">
        <v>226</v>
      </c>
      <c r="B46">
        <v>4.97</v>
      </c>
      <c r="C46">
        <f>Table18[[#This Row],[Area(m2)]]*10.7639</f>
        <v>53.496582999999994</v>
      </c>
      <c r="D46">
        <f>Table18[[#This Row],[Area(ft2)]]*5/1000</f>
        <v>0.26748291499999999</v>
      </c>
      <c r="E46">
        <f>IF(Table18[[#This Row],[Max Occupancy]]&lt;1,ROUNDUP(Table18[[#This Row],[Max Occupancy]],0),ROUNDDOWN(Table18[[#This Row],[Max Occupancy]],0))</f>
        <v>1</v>
      </c>
    </row>
    <row r="47" spans="1:5" x14ac:dyDescent="0.5">
      <c r="A47" s="28" t="s">
        <v>44</v>
      </c>
      <c r="B47" s="28">
        <f>SUM(B9:B46)</f>
        <v>1302.22</v>
      </c>
      <c r="C47" s="28">
        <f>SUM(C9:C46)</f>
        <v>14016.965857999998</v>
      </c>
      <c r="D47" s="28">
        <f>SUM(D9:D46)</f>
        <v>70.08482929000003</v>
      </c>
      <c r="E47" s="28">
        <f>SUM(E9:E46)</f>
        <v>74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48E1-3271-4CC1-AE03-336BABB745F4}">
  <dimension ref="A1:P215"/>
  <sheetViews>
    <sheetView topLeftCell="A90" zoomScale="90" zoomScaleNormal="90" workbookViewId="0">
      <selection activeCell="A110" sqref="A110"/>
    </sheetView>
  </sheetViews>
  <sheetFormatPr defaultRowHeight="14.35" x14ac:dyDescent="0.5"/>
  <cols>
    <col min="1" max="1" width="19" bestFit="1" customWidth="1"/>
    <col min="2" max="2" width="18.5859375" bestFit="1" customWidth="1"/>
    <col min="3" max="3" width="22.5859375" bestFit="1" customWidth="1"/>
    <col min="4" max="4" width="20.5859375" bestFit="1" customWidth="1"/>
    <col min="5" max="5" width="19" bestFit="1" customWidth="1"/>
    <col min="6" max="6" width="18.703125" bestFit="1" customWidth="1"/>
    <col min="7" max="7" width="25.5859375" bestFit="1" customWidth="1"/>
    <col min="8" max="8" width="18.1171875" bestFit="1" customWidth="1"/>
    <col min="9" max="9" width="15.41015625" bestFit="1" customWidth="1"/>
    <col min="10" max="10" width="16.1171875" bestFit="1" customWidth="1"/>
    <col min="11" max="11" width="29.1171875" bestFit="1" customWidth="1"/>
    <col min="12" max="12" width="25.41015625" bestFit="1" customWidth="1"/>
    <col min="13" max="13" width="15.87890625" bestFit="1" customWidth="1"/>
    <col min="14" max="14" width="28.5859375" bestFit="1" customWidth="1"/>
    <col min="15" max="15" width="20.29296875" bestFit="1" customWidth="1"/>
    <col min="16" max="16" width="30.5859375" bestFit="1" customWidth="1"/>
  </cols>
  <sheetData>
    <row r="1" spans="1:16" ht="15.35" x14ac:dyDescent="0.5">
      <c r="A1" s="11" t="s">
        <v>227</v>
      </c>
      <c r="B1" s="12" t="s">
        <v>228</v>
      </c>
      <c r="C1" s="12" t="s">
        <v>229</v>
      </c>
      <c r="D1" s="12" t="s">
        <v>230</v>
      </c>
      <c r="E1" s="12" t="s">
        <v>231</v>
      </c>
      <c r="F1" s="12" t="s">
        <v>232</v>
      </c>
      <c r="G1" s="12" t="s">
        <v>233</v>
      </c>
      <c r="H1" s="12" t="s">
        <v>234</v>
      </c>
      <c r="I1" s="12" t="s">
        <v>235</v>
      </c>
      <c r="J1" s="12" t="s">
        <v>236</v>
      </c>
      <c r="K1" s="12" t="s">
        <v>237</v>
      </c>
      <c r="L1" s="12" t="s">
        <v>238</v>
      </c>
      <c r="M1" s="12" t="s">
        <v>239</v>
      </c>
      <c r="N1" s="12" t="s">
        <v>240</v>
      </c>
      <c r="O1" s="12" t="s">
        <v>241</v>
      </c>
      <c r="P1" s="13" t="s">
        <v>242</v>
      </c>
    </row>
    <row r="2" spans="1:16" ht="15.35" x14ac:dyDescent="0.5">
      <c r="A2" s="6" t="s">
        <v>243</v>
      </c>
      <c r="B2" s="1" t="s">
        <v>244</v>
      </c>
      <c r="C2" s="1" t="s">
        <v>245</v>
      </c>
      <c r="D2" s="1" t="s">
        <v>246</v>
      </c>
      <c r="E2" s="1" t="s">
        <v>247</v>
      </c>
      <c r="F2" s="1" t="s">
        <v>248</v>
      </c>
      <c r="G2" s="1" t="s">
        <v>249</v>
      </c>
      <c r="H2" s="1" t="s">
        <v>246</v>
      </c>
      <c r="I2" s="1" t="s">
        <v>250</v>
      </c>
      <c r="J2" s="1" t="s">
        <v>10</v>
      </c>
      <c r="K2" s="2">
        <v>14.11</v>
      </c>
      <c r="L2" s="2">
        <v>50</v>
      </c>
      <c r="M2" s="1" t="s">
        <v>251</v>
      </c>
      <c r="N2" s="1" t="s">
        <v>252</v>
      </c>
      <c r="O2" s="1" t="s">
        <v>253</v>
      </c>
      <c r="P2" s="8" t="s">
        <v>254</v>
      </c>
    </row>
    <row r="3" spans="1:16" ht="15.35" x14ac:dyDescent="0.5">
      <c r="A3" s="6" t="s">
        <v>243</v>
      </c>
      <c r="B3" s="1" t="s">
        <v>244</v>
      </c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  <c r="H3" s="1" t="s">
        <v>246</v>
      </c>
      <c r="I3" s="1" t="s">
        <v>250</v>
      </c>
      <c r="J3" s="1" t="s">
        <v>12</v>
      </c>
      <c r="K3" s="2">
        <v>9.35</v>
      </c>
      <c r="L3" s="2">
        <v>50</v>
      </c>
      <c r="M3" s="1" t="s">
        <v>251</v>
      </c>
      <c r="N3" s="1" t="s">
        <v>252</v>
      </c>
      <c r="O3" s="1" t="s">
        <v>255</v>
      </c>
      <c r="P3" s="8" t="s">
        <v>256</v>
      </c>
    </row>
    <row r="4" spans="1:16" ht="15.35" x14ac:dyDescent="0.5">
      <c r="A4" s="6" t="s">
        <v>243</v>
      </c>
      <c r="B4" s="1" t="s">
        <v>244</v>
      </c>
      <c r="C4" s="1" t="s">
        <v>245</v>
      </c>
      <c r="D4" s="1" t="s">
        <v>246</v>
      </c>
      <c r="E4" s="1" t="s">
        <v>247</v>
      </c>
      <c r="F4" s="1" t="s">
        <v>257</v>
      </c>
      <c r="G4" s="1" t="s">
        <v>13</v>
      </c>
      <c r="H4" s="1" t="s">
        <v>246</v>
      </c>
      <c r="I4" s="1" t="s">
        <v>258</v>
      </c>
      <c r="J4" s="1" t="s">
        <v>176</v>
      </c>
      <c r="K4" s="2">
        <v>52.13</v>
      </c>
      <c r="L4" s="2">
        <v>100</v>
      </c>
      <c r="M4" s="1" t="s">
        <v>259</v>
      </c>
      <c r="N4" s="1" t="s">
        <v>56</v>
      </c>
      <c r="O4" s="1" t="s">
        <v>260</v>
      </c>
      <c r="P4" s="8" t="s">
        <v>261</v>
      </c>
    </row>
    <row r="5" spans="1:16" ht="15.35" x14ac:dyDescent="0.5">
      <c r="A5" s="6" t="s">
        <v>243</v>
      </c>
      <c r="B5" s="1" t="s">
        <v>244</v>
      </c>
      <c r="C5" s="1" t="s">
        <v>245</v>
      </c>
      <c r="D5" s="1" t="s">
        <v>246</v>
      </c>
      <c r="E5" s="1" t="s">
        <v>247</v>
      </c>
      <c r="F5" s="1" t="s">
        <v>262</v>
      </c>
      <c r="G5" s="1" t="s">
        <v>24</v>
      </c>
      <c r="H5" s="1" t="s">
        <v>246</v>
      </c>
      <c r="I5" s="1" t="s">
        <v>250</v>
      </c>
      <c r="J5" s="1" t="s">
        <v>50</v>
      </c>
      <c r="K5" s="2">
        <v>12.62</v>
      </c>
      <c r="L5" s="2">
        <v>100</v>
      </c>
      <c r="M5" s="1" t="s">
        <v>263</v>
      </c>
      <c r="N5" s="1" t="s">
        <v>264</v>
      </c>
      <c r="O5" s="1" t="s">
        <v>265</v>
      </c>
      <c r="P5" s="8" t="s">
        <v>266</v>
      </c>
    </row>
    <row r="6" spans="1:16" ht="15.35" x14ac:dyDescent="0.5">
      <c r="A6" s="6" t="s">
        <v>243</v>
      </c>
      <c r="B6" s="1" t="s">
        <v>244</v>
      </c>
      <c r="C6" s="1" t="s">
        <v>245</v>
      </c>
      <c r="D6" s="1" t="s">
        <v>246</v>
      </c>
      <c r="E6" s="1" t="s">
        <v>247</v>
      </c>
      <c r="F6" s="1" t="s">
        <v>262</v>
      </c>
      <c r="G6" s="1" t="s">
        <v>24</v>
      </c>
      <c r="H6" s="1" t="s">
        <v>246</v>
      </c>
      <c r="I6" s="1" t="s">
        <v>250</v>
      </c>
      <c r="J6" s="1" t="s">
        <v>52</v>
      </c>
      <c r="K6" s="2">
        <v>148.41</v>
      </c>
      <c r="L6" s="2">
        <v>100</v>
      </c>
      <c r="M6" s="1" t="s">
        <v>263</v>
      </c>
      <c r="N6" s="1" t="s">
        <v>264</v>
      </c>
      <c r="O6" s="1" t="s">
        <v>267</v>
      </c>
      <c r="P6" s="8" t="s">
        <v>268</v>
      </c>
    </row>
    <row r="7" spans="1:16" ht="15.35" x14ac:dyDescent="0.5">
      <c r="A7" s="6" t="s">
        <v>243</v>
      </c>
      <c r="B7" s="1" t="s">
        <v>244</v>
      </c>
      <c r="C7" s="1" t="s">
        <v>245</v>
      </c>
      <c r="D7" s="1" t="s">
        <v>246</v>
      </c>
      <c r="E7" s="1" t="s">
        <v>247</v>
      </c>
      <c r="F7" s="1" t="s">
        <v>262</v>
      </c>
      <c r="G7" s="1" t="s">
        <v>24</v>
      </c>
      <c r="H7" s="1" t="s">
        <v>246</v>
      </c>
      <c r="I7" s="1" t="s">
        <v>250</v>
      </c>
      <c r="J7" s="1" t="s">
        <v>57</v>
      </c>
      <c r="K7" s="2">
        <v>103.68</v>
      </c>
      <c r="L7" s="2">
        <v>100</v>
      </c>
      <c r="M7" s="1" t="s">
        <v>259</v>
      </c>
      <c r="N7" s="1" t="s">
        <v>56</v>
      </c>
      <c r="O7" s="1" t="s">
        <v>260</v>
      </c>
      <c r="P7" s="8" t="s">
        <v>261</v>
      </c>
    </row>
    <row r="8" spans="1:16" ht="15.35" x14ac:dyDescent="0.5">
      <c r="A8" s="6" t="s">
        <v>243</v>
      </c>
      <c r="B8" s="1" t="s">
        <v>244</v>
      </c>
      <c r="C8" s="1" t="s">
        <v>245</v>
      </c>
      <c r="D8" s="1" t="s">
        <v>246</v>
      </c>
      <c r="E8" s="1" t="s">
        <v>247</v>
      </c>
      <c r="F8" s="1" t="s">
        <v>262</v>
      </c>
      <c r="G8" s="1" t="s">
        <v>24</v>
      </c>
      <c r="H8" s="1" t="s">
        <v>246</v>
      </c>
      <c r="I8" s="1" t="s">
        <v>250</v>
      </c>
      <c r="J8" s="1" t="s">
        <v>14</v>
      </c>
      <c r="K8" s="2">
        <v>29.44</v>
      </c>
      <c r="L8" s="2">
        <v>100</v>
      </c>
      <c r="M8" s="1" t="s">
        <v>269</v>
      </c>
      <c r="N8" s="1" t="s">
        <v>270</v>
      </c>
      <c r="O8" s="1" t="s">
        <v>271</v>
      </c>
      <c r="P8" s="8" t="s">
        <v>272</v>
      </c>
    </row>
    <row r="9" spans="1:16" ht="15.35" x14ac:dyDescent="0.5">
      <c r="A9" s="6" t="s">
        <v>243</v>
      </c>
      <c r="B9" s="1" t="s">
        <v>244</v>
      </c>
      <c r="C9" s="1" t="s">
        <v>245</v>
      </c>
      <c r="D9" s="1" t="s">
        <v>246</v>
      </c>
      <c r="E9" s="1" t="s">
        <v>247</v>
      </c>
      <c r="F9" s="1" t="s">
        <v>262</v>
      </c>
      <c r="G9" s="1" t="s">
        <v>24</v>
      </c>
      <c r="H9" s="1" t="s">
        <v>246</v>
      </c>
      <c r="I9" s="1" t="s">
        <v>250</v>
      </c>
      <c r="J9" s="1" t="s">
        <v>20</v>
      </c>
      <c r="K9" s="2">
        <v>34.69</v>
      </c>
      <c r="L9" s="2">
        <v>100</v>
      </c>
      <c r="M9" s="1" t="s">
        <v>251</v>
      </c>
      <c r="N9" s="1" t="s">
        <v>252</v>
      </c>
      <c r="O9" s="1" t="s">
        <v>255</v>
      </c>
      <c r="P9" s="8" t="s">
        <v>256</v>
      </c>
    </row>
    <row r="10" spans="1:16" ht="15.35" x14ac:dyDescent="0.5">
      <c r="A10" s="6" t="s">
        <v>243</v>
      </c>
      <c r="B10" s="1" t="s">
        <v>244</v>
      </c>
      <c r="C10" s="1" t="s">
        <v>245</v>
      </c>
      <c r="D10" s="1" t="s">
        <v>246</v>
      </c>
      <c r="E10" s="1" t="s">
        <v>247</v>
      </c>
      <c r="F10" s="1" t="s">
        <v>262</v>
      </c>
      <c r="G10" s="1" t="s">
        <v>24</v>
      </c>
      <c r="H10" s="1" t="s">
        <v>246</v>
      </c>
      <c r="I10" s="1" t="s">
        <v>250</v>
      </c>
      <c r="J10" s="1" t="s">
        <v>54</v>
      </c>
      <c r="K10" s="2">
        <v>31.1</v>
      </c>
      <c r="L10" s="2">
        <v>100</v>
      </c>
      <c r="M10" s="1" t="s">
        <v>263</v>
      </c>
      <c r="N10" s="1" t="s">
        <v>264</v>
      </c>
      <c r="O10" s="1" t="s">
        <v>255</v>
      </c>
      <c r="P10" s="8" t="s">
        <v>256</v>
      </c>
    </row>
    <row r="11" spans="1:16" ht="15.35" x14ac:dyDescent="0.5">
      <c r="A11" s="6" t="s">
        <v>243</v>
      </c>
      <c r="B11" s="1" t="s">
        <v>244</v>
      </c>
      <c r="C11" s="1" t="s">
        <v>245</v>
      </c>
      <c r="D11" s="1" t="s">
        <v>246</v>
      </c>
      <c r="E11" s="1" t="s">
        <v>247</v>
      </c>
      <c r="F11" s="1" t="s">
        <v>262</v>
      </c>
      <c r="G11" s="1" t="s">
        <v>24</v>
      </c>
      <c r="H11" s="1" t="s">
        <v>246</v>
      </c>
      <c r="I11" s="1" t="s">
        <v>250</v>
      </c>
      <c r="J11" s="1" t="s">
        <v>7</v>
      </c>
      <c r="K11" s="2">
        <v>28.19</v>
      </c>
      <c r="L11" s="2">
        <v>100</v>
      </c>
      <c r="M11" s="1" t="s">
        <v>273</v>
      </c>
      <c r="N11" s="1" t="s">
        <v>274</v>
      </c>
      <c r="O11" s="1" t="s">
        <v>275</v>
      </c>
      <c r="P11" s="8" t="s">
        <v>276</v>
      </c>
    </row>
    <row r="12" spans="1:16" ht="15.35" x14ac:dyDescent="0.5">
      <c r="A12" s="6" t="s">
        <v>243</v>
      </c>
      <c r="B12" s="1" t="s">
        <v>244</v>
      </c>
      <c r="C12" s="1" t="s">
        <v>245</v>
      </c>
      <c r="D12" s="1" t="s">
        <v>246</v>
      </c>
      <c r="E12" s="1" t="s">
        <v>247</v>
      </c>
      <c r="F12" s="1" t="s">
        <v>262</v>
      </c>
      <c r="G12" s="1" t="s">
        <v>24</v>
      </c>
      <c r="H12" s="1" t="s">
        <v>246</v>
      </c>
      <c r="I12" s="1" t="s">
        <v>250</v>
      </c>
      <c r="J12" s="1" t="s">
        <v>9</v>
      </c>
      <c r="K12" s="2">
        <v>26.3</v>
      </c>
      <c r="L12" s="2">
        <v>100</v>
      </c>
      <c r="M12" s="1" t="s">
        <v>273</v>
      </c>
      <c r="N12" s="1" t="s">
        <v>274</v>
      </c>
      <c r="O12" s="1" t="s">
        <v>275</v>
      </c>
      <c r="P12" s="8" t="s">
        <v>276</v>
      </c>
    </row>
    <row r="13" spans="1:16" ht="15.35" x14ac:dyDescent="0.5">
      <c r="A13" s="6" t="s">
        <v>243</v>
      </c>
      <c r="B13" s="1" t="s">
        <v>244</v>
      </c>
      <c r="C13" s="1" t="s">
        <v>245</v>
      </c>
      <c r="D13" s="1" t="s">
        <v>246</v>
      </c>
      <c r="E13" s="1" t="s">
        <v>247</v>
      </c>
      <c r="F13" s="1" t="s">
        <v>262</v>
      </c>
      <c r="G13" s="1" t="s">
        <v>24</v>
      </c>
      <c r="H13" s="1" t="s">
        <v>246</v>
      </c>
      <c r="I13" s="1" t="s">
        <v>250</v>
      </c>
      <c r="J13" s="1" t="s">
        <v>11</v>
      </c>
      <c r="K13" s="2">
        <v>25.85</v>
      </c>
      <c r="L13" s="2">
        <v>100</v>
      </c>
      <c r="M13" s="1" t="s">
        <v>273</v>
      </c>
      <c r="N13" s="1" t="s">
        <v>274</v>
      </c>
      <c r="O13" s="1" t="s">
        <v>275</v>
      </c>
      <c r="P13" s="8" t="s">
        <v>276</v>
      </c>
    </row>
    <row r="14" spans="1:16" ht="15.35" x14ac:dyDescent="0.5">
      <c r="A14" s="6" t="s">
        <v>243</v>
      </c>
      <c r="B14" s="1" t="s">
        <v>244</v>
      </c>
      <c r="C14" s="1" t="s">
        <v>245</v>
      </c>
      <c r="D14" s="1" t="s">
        <v>246</v>
      </c>
      <c r="E14" s="1" t="s">
        <v>247</v>
      </c>
      <c r="F14" s="1" t="s">
        <v>262</v>
      </c>
      <c r="G14" s="1" t="s">
        <v>24</v>
      </c>
      <c r="H14" s="1" t="s">
        <v>246</v>
      </c>
      <c r="I14" s="1" t="s">
        <v>250</v>
      </c>
      <c r="J14" s="1" t="s">
        <v>13</v>
      </c>
      <c r="K14" s="2">
        <v>55.8</v>
      </c>
      <c r="L14" s="2">
        <v>100</v>
      </c>
      <c r="M14" s="1" t="s">
        <v>273</v>
      </c>
      <c r="N14" s="1" t="s">
        <v>274</v>
      </c>
      <c r="O14" s="1" t="s">
        <v>275</v>
      </c>
      <c r="P14" s="8" t="s">
        <v>276</v>
      </c>
    </row>
    <row r="15" spans="1:16" ht="15.35" x14ac:dyDescent="0.5">
      <c r="A15" s="6" t="s">
        <v>243</v>
      </c>
      <c r="B15" s="1" t="s">
        <v>244</v>
      </c>
      <c r="C15" s="1" t="s">
        <v>245</v>
      </c>
      <c r="D15" s="1" t="s">
        <v>246</v>
      </c>
      <c r="E15" s="1" t="s">
        <v>247</v>
      </c>
      <c r="F15" s="1" t="s">
        <v>262</v>
      </c>
      <c r="G15" s="1" t="s">
        <v>24</v>
      </c>
      <c r="H15" s="1" t="s">
        <v>246</v>
      </c>
      <c r="I15" s="1" t="s">
        <v>250</v>
      </c>
      <c r="J15" s="1" t="s">
        <v>19</v>
      </c>
      <c r="K15" s="2">
        <v>37.46</v>
      </c>
      <c r="L15" s="2">
        <v>100</v>
      </c>
      <c r="M15" s="1" t="s">
        <v>273</v>
      </c>
      <c r="N15" s="1" t="s">
        <v>274</v>
      </c>
      <c r="O15" s="1" t="s">
        <v>275</v>
      </c>
      <c r="P15" s="8" t="s">
        <v>276</v>
      </c>
    </row>
    <row r="16" spans="1:16" ht="15.35" x14ac:dyDescent="0.5">
      <c r="A16" s="6" t="s">
        <v>243</v>
      </c>
      <c r="B16" s="1" t="s">
        <v>244</v>
      </c>
      <c r="C16" s="1" t="s">
        <v>245</v>
      </c>
      <c r="D16" s="1" t="s">
        <v>246</v>
      </c>
      <c r="E16" s="1" t="s">
        <v>247</v>
      </c>
      <c r="F16" s="1" t="s">
        <v>262</v>
      </c>
      <c r="G16" s="1" t="s">
        <v>24</v>
      </c>
      <c r="H16" s="1" t="s">
        <v>246</v>
      </c>
      <c r="I16" s="1" t="s">
        <v>250</v>
      </c>
      <c r="J16" s="1" t="s">
        <v>21</v>
      </c>
      <c r="K16" s="2">
        <v>59.36</v>
      </c>
      <c r="L16" s="2">
        <v>100</v>
      </c>
      <c r="M16" s="1" t="s">
        <v>273</v>
      </c>
      <c r="N16" s="1" t="s">
        <v>274</v>
      </c>
      <c r="O16" s="1" t="s">
        <v>275</v>
      </c>
      <c r="P16" s="8" t="s">
        <v>276</v>
      </c>
    </row>
    <row r="17" spans="1:16" ht="15.35" x14ac:dyDescent="0.5">
      <c r="A17" s="6" t="s">
        <v>243</v>
      </c>
      <c r="B17" s="1" t="s">
        <v>244</v>
      </c>
      <c r="C17" s="1" t="s">
        <v>245</v>
      </c>
      <c r="D17" s="1" t="s">
        <v>246</v>
      </c>
      <c r="E17" s="1" t="s">
        <v>247</v>
      </c>
      <c r="F17" s="1" t="s">
        <v>262</v>
      </c>
      <c r="G17" s="1" t="s">
        <v>24</v>
      </c>
      <c r="H17" s="1" t="s">
        <v>246</v>
      </c>
      <c r="I17" s="1" t="s">
        <v>250</v>
      </c>
      <c r="J17" s="1" t="s">
        <v>22</v>
      </c>
      <c r="K17" s="2">
        <v>12.65</v>
      </c>
      <c r="L17" s="2">
        <v>100</v>
      </c>
      <c r="M17" s="1" t="s">
        <v>277</v>
      </c>
      <c r="N17" s="1" t="s">
        <v>278</v>
      </c>
      <c r="O17" s="1" t="s">
        <v>279</v>
      </c>
      <c r="P17" s="8" t="s">
        <v>280</v>
      </c>
    </row>
    <row r="18" spans="1:16" ht="30.35" x14ac:dyDescent="0.5">
      <c r="A18" s="6" t="s">
        <v>243</v>
      </c>
      <c r="B18" s="1" t="s">
        <v>244</v>
      </c>
      <c r="C18" s="1" t="s">
        <v>245</v>
      </c>
      <c r="D18" s="1" t="s">
        <v>246</v>
      </c>
      <c r="E18" s="1" t="s">
        <v>247</v>
      </c>
      <c r="F18" s="1" t="s">
        <v>262</v>
      </c>
      <c r="G18" s="1" t="s">
        <v>24</v>
      </c>
      <c r="H18" s="1" t="s">
        <v>246</v>
      </c>
      <c r="I18" s="1" t="s">
        <v>250</v>
      </c>
      <c r="J18" s="1" t="s">
        <v>24</v>
      </c>
      <c r="K18" s="2">
        <v>8.85</v>
      </c>
      <c r="L18" s="2">
        <v>100</v>
      </c>
      <c r="M18" s="1" t="s">
        <v>281</v>
      </c>
      <c r="N18" s="1" t="s">
        <v>282</v>
      </c>
      <c r="O18" s="1" t="s">
        <v>283</v>
      </c>
      <c r="P18" s="8" t="s">
        <v>284</v>
      </c>
    </row>
    <row r="19" spans="1:16" ht="30.35" x14ac:dyDescent="0.5">
      <c r="A19" s="6" t="s">
        <v>243</v>
      </c>
      <c r="B19" s="1" t="s">
        <v>244</v>
      </c>
      <c r="C19" s="1" t="s">
        <v>245</v>
      </c>
      <c r="D19" s="1" t="s">
        <v>246</v>
      </c>
      <c r="E19" s="1" t="s">
        <v>247</v>
      </c>
      <c r="F19" s="1" t="s">
        <v>262</v>
      </c>
      <c r="G19" s="1" t="s">
        <v>24</v>
      </c>
      <c r="H19" s="1" t="s">
        <v>246</v>
      </c>
      <c r="I19" s="1" t="s">
        <v>250</v>
      </c>
      <c r="J19" s="1" t="s">
        <v>26</v>
      </c>
      <c r="K19" s="2">
        <v>12.24</v>
      </c>
      <c r="L19" s="2">
        <v>100</v>
      </c>
      <c r="M19" s="1" t="s">
        <v>281</v>
      </c>
      <c r="N19" s="1" t="s">
        <v>282</v>
      </c>
      <c r="O19" s="1" t="s">
        <v>283</v>
      </c>
      <c r="P19" s="8" t="s">
        <v>284</v>
      </c>
    </row>
    <row r="20" spans="1:16" ht="30.35" x14ac:dyDescent="0.5">
      <c r="A20" s="6" t="s">
        <v>243</v>
      </c>
      <c r="B20" s="1" t="s">
        <v>244</v>
      </c>
      <c r="C20" s="1" t="s">
        <v>245</v>
      </c>
      <c r="D20" s="1" t="s">
        <v>246</v>
      </c>
      <c r="E20" s="1" t="s">
        <v>247</v>
      </c>
      <c r="F20" s="1" t="s">
        <v>262</v>
      </c>
      <c r="G20" s="1" t="s">
        <v>24</v>
      </c>
      <c r="H20" s="1" t="s">
        <v>246</v>
      </c>
      <c r="I20" s="1" t="s">
        <v>250</v>
      </c>
      <c r="J20" s="1" t="s">
        <v>28</v>
      </c>
      <c r="K20" s="2">
        <v>12.48</v>
      </c>
      <c r="L20" s="2">
        <v>100</v>
      </c>
      <c r="M20" s="1" t="s">
        <v>281</v>
      </c>
      <c r="N20" s="1" t="s">
        <v>282</v>
      </c>
      <c r="O20" s="1" t="s">
        <v>253</v>
      </c>
      <c r="P20" s="8" t="s">
        <v>254</v>
      </c>
    </row>
    <row r="21" spans="1:16" ht="15.35" x14ac:dyDescent="0.5">
      <c r="A21" s="6" t="s">
        <v>243</v>
      </c>
      <c r="B21" s="1" t="s">
        <v>244</v>
      </c>
      <c r="C21" s="1" t="s">
        <v>245</v>
      </c>
      <c r="D21" s="1" t="s">
        <v>246</v>
      </c>
      <c r="E21" s="1" t="s">
        <v>247</v>
      </c>
      <c r="F21" s="1" t="s">
        <v>262</v>
      </c>
      <c r="G21" s="1" t="s">
        <v>24</v>
      </c>
      <c r="H21" s="1" t="s">
        <v>246</v>
      </c>
      <c r="I21" s="1" t="s">
        <v>250</v>
      </c>
      <c r="J21" s="1" t="s">
        <v>30</v>
      </c>
      <c r="K21" s="2">
        <v>28.43</v>
      </c>
      <c r="L21" s="2">
        <v>100</v>
      </c>
      <c r="M21" s="1" t="s">
        <v>269</v>
      </c>
      <c r="N21" s="1" t="s">
        <v>270</v>
      </c>
      <c r="O21" s="1" t="s">
        <v>271</v>
      </c>
      <c r="P21" s="8" t="s">
        <v>272</v>
      </c>
    </row>
    <row r="22" spans="1:16" ht="15.35" x14ac:dyDescent="0.5">
      <c r="A22" s="6" t="s">
        <v>243</v>
      </c>
      <c r="B22" s="1" t="s">
        <v>244</v>
      </c>
      <c r="C22" s="1" t="s">
        <v>245</v>
      </c>
      <c r="D22" s="1" t="s">
        <v>246</v>
      </c>
      <c r="E22" s="1" t="s">
        <v>247</v>
      </c>
      <c r="F22" s="1" t="s">
        <v>262</v>
      </c>
      <c r="G22" s="1" t="s">
        <v>24</v>
      </c>
      <c r="H22" s="1" t="s">
        <v>246</v>
      </c>
      <c r="I22" s="1" t="s">
        <v>250</v>
      </c>
      <c r="J22" s="1" t="s">
        <v>32</v>
      </c>
      <c r="K22" s="2">
        <v>12.47</v>
      </c>
      <c r="L22" s="2">
        <v>100</v>
      </c>
      <c r="M22" s="1" t="s">
        <v>277</v>
      </c>
      <c r="N22" s="1" t="s">
        <v>278</v>
      </c>
      <c r="O22" s="1" t="s">
        <v>279</v>
      </c>
      <c r="P22" s="8" t="s">
        <v>280</v>
      </c>
    </row>
    <row r="23" spans="1:16" ht="15.35" x14ac:dyDescent="0.5">
      <c r="A23" s="6" t="s">
        <v>243</v>
      </c>
      <c r="B23" s="1" t="s">
        <v>244</v>
      </c>
      <c r="C23" s="1" t="s">
        <v>245</v>
      </c>
      <c r="D23" s="1" t="s">
        <v>246</v>
      </c>
      <c r="E23" s="1" t="s">
        <v>247</v>
      </c>
      <c r="F23" s="1" t="s">
        <v>262</v>
      </c>
      <c r="G23" s="1" t="s">
        <v>24</v>
      </c>
      <c r="H23" s="1" t="s">
        <v>246</v>
      </c>
      <c r="I23" s="1" t="s">
        <v>250</v>
      </c>
      <c r="J23" s="1" t="s">
        <v>23</v>
      </c>
      <c r="K23" s="2">
        <v>22.14</v>
      </c>
      <c r="L23" s="2">
        <v>100</v>
      </c>
      <c r="M23" s="1" t="s">
        <v>273</v>
      </c>
      <c r="N23" s="1" t="s">
        <v>274</v>
      </c>
      <c r="O23" s="1" t="s">
        <v>275</v>
      </c>
      <c r="P23" s="8" t="s">
        <v>276</v>
      </c>
    </row>
    <row r="24" spans="1:16" ht="15.35" x14ac:dyDescent="0.5">
      <c r="A24" s="6" t="s">
        <v>243</v>
      </c>
      <c r="B24" s="1" t="s">
        <v>244</v>
      </c>
      <c r="C24" s="1" t="s">
        <v>245</v>
      </c>
      <c r="D24" s="1" t="s">
        <v>246</v>
      </c>
      <c r="E24" s="1" t="s">
        <v>247</v>
      </c>
      <c r="F24" s="1" t="s">
        <v>262</v>
      </c>
      <c r="G24" s="1" t="s">
        <v>24</v>
      </c>
      <c r="H24" s="1" t="s">
        <v>246</v>
      </c>
      <c r="I24" s="1" t="s">
        <v>250</v>
      </c>
      <c r="J24" s="1" t="s">
        <v>34</v>
      </c>
      <c r="K24" s="2">
        <v>11.09</v>
      </c>
      <c r="L24" s="2">
        <v>100</v>
      </c>
      <c r="M24" s="1" t="s">
        <v>277</v>
      </c>
      <c r="N24" s="1" t="s">
        <v>278</v>
      </c>
      <c r="O24" s="1" t="s">
        <v>279</v>
      </c>
      <c r="P24" s="8" t="s">
        <v>280</v>
      </c>
    </row>
    <row r="25" spans="1:16" ht="15.35" x14ac:dyDescent="0.5">
      <c r="A25" s="6" t="s">
        <v>243</v>
      </c>
      <c r="B25" s="1" t="s">
        <v>244</v>
      </c>
      <c r="C25" s="1" t="s">
        <v>245</v>
      </c>
      <c r="D25" s="1" t="s">
        <v>246</v>
      </c>
      <c r="E25" s="1" t="s">
        <v>247</v>
      </c>
      <c r="F25" s="1" t="s">
        <v>262</v>
      </c>
      <c r="G25" s="1" t="s">
        <v>24</v>
      </c>
      <c r="H25" s="1" t="s">
        <v>246</v>
      </c>
      <c r="I25" s="1" t="s">
        <v>250</v>
      </c>
      <c r="J25" s="1" t="s">
        <v>36</v>
      </c>
      <c r="K25" s="2">
        <v>18.91</v>
      </c>
      <c r="L25" s="2">
        <v>100</v>
      </c>
      <c r="M25" s="1" t="s">
        <v>269</v>
      </c>
      <c r="N25" s="1" t="s">
        <v>270</v>
      </c>
      <c r="O25" s="1" t="s">
        <v>271</v>
      </c>
      <c r="P25" s="8" t="s">
        <v>272</v>
      </c>
    </row>
    <row r="26" spans="1:16" ht="30.35" x14ac:dyDescent="0.5">
      <c r="A26" s="6" t="s">
        <v>243</v>
      </c>
      <c r="B26" s="1" t="s">
        <v>244</v>
      </c>
      <c r="C26" s="1" t="s">
        <v>245</v>
      </c>
      <c r="D26" s="1" t="s">
        <v>246</v>
      </c>
      <c r="E26" s="1" t="s">
        <v>247</v>
      </c>
      <c r="F26" s="1" t="s">
        <v>262</v>
      </c>
      <c r="G26" s="1" t="s">
        <v>24</v>
      </c>
      <c r="H26" s="1" t="s">
        <v>246</v>
      </c>
      <c r="I26" s="1" t="s">
        <v>250</v>
      </c>
      <c r="J26" s="1" t="s">
        <v>38</v>
      </c>
      <c r="K26" s="2">
        <v>16.82</v>
      </c>
      <c r="L26" s="2">
        <v>100</v>
      </c>
      <c r="M26" s="1" t="s">
        <v>285</v>
      </c>
      <c r="N26" s="1" t="s">
        <v>286</v>
      </c>
      <c r="O26" s="1" t="s">
        <v>287</v>
      </c>
      <c r="P26" s="8" t="s">
        <v>288</v>
      </c>
    </row>
    <row r="27" spans="1:16" ht="30.35" x14ac:dyDescent="0.5">
      <c r="A27" s="7" t="s">
        <v>243</v>
      </c>
      <c r="B27" s="3" t="s">
        <v>244</v>
      </c>
      <c r="C27" s="3" t="s">
        <v>245</v>
      </c>
      <c r="D27" s="3" t="s">
        <v>246</v>
      </c>
      <c r="E27" s="3" t="s">
        <v>247</v>
      </c>
      <c r="F27" s="3" t="s">
        <v>262</v>
      </c>
      <c r="G27" s="3" t="s">
        <v>24</v>
      </c>
      <c r="H27" s="3" t="s">
        <v>246</v>
      </c>
      <c r="I27" s="3" t="s">
        <v>250</v>
      </c>
      <c r="J27" s="3" t="s">
        <v>40</v>
      </c>
      <c r="K27" s="4">
        <v>28.18</v>
      </c>
      <c r="L27" s="4">
        <v>100</v>
      </c>
      <c r="M27" s="3" t="s">
        <v>281</v>
      </c>
      <c r="N27" s="3" t="s">
        <v>282</v>
      </c>
      <c r="O27" s="5" t="s">
        <v>287</v>
      </c>
      <c r="P27" s="9" t="s">
        <v>289</v>
      </c>
    </row>
    <row r="28" spans="1:16" ht="15.35" x14ac:dyDescent="0.5">
      <c r="A28" s="6" t="s">
        <v>243</v>
      </c>
      <c r="B28" s="1" t="s">
        <v>244</v>
      </c>
      <c r="C28" s="1" t="s">
        <v>245</v>
      </c>
      <c r="D28" s="1" t="s">
        <v>246</v>
      </c>
      <c r="E28" s="1" t="s">
        <v>247</v>
      </c>
      <c r="F28" s="1" t="s">
        <v>262</v>
      </c>
      <c r="G28" s="1" t="s">
        <v>24</v>
      </c>
      <c r="H28" s="1" t="s">
        <v>246</v>
      </c>
      <c r="I28" s="1" t="s">
        <v>250</v>
      </c>
      <c r="J28" s="1" t="s">
        <v>25</v>
      </c>
      <c r="K28" s="2">
        <v>25.85</v>
      </c>
      <c r="L28" s="2">
        <v>100</v>
      </c>
      <c r="M28" s="1" t="s">
        <v>273</v>
      </c>
      <c r="N28" s="1" t="s">
        <v>274</v>
      </c>
      <c r="O28" s="1" t="s">
        <v>275</v>
      </c>
      <c r="P28" s="8" t="s">
        <v>276</v>
      </c>
    </row>
    <row r="29" spans="1:16" ht="15.35" x14ac:dyDescent="0.5">
      <c r="A29" s="6" t="s">
        <v>243</v>
      </c>
      <c r="B29" s="1" t="s">
        <v>244</v>
      </c>
      <c r="C29" s="1" t="s">
        <v>245</v>
      </c>
      <c r="D29" s="1" t="s">
        <v>246</v>
      </c>
      <c r="E29" s="1" t="s">
        <v>247</v>
      </c>
      <c r="F29" s="1" t="s">
        <v>262</v>
      </c>
      <c r="G29" s="1" t="s">
        <v>24</v>
      </c>
      <c r="H29" s="1" t="s">
        <v>246</v>
      </c>
      <c r="I29" s="1" t="s">
        <v>250</v>
      </c>
      <c r="J29" s="1" t="s">
        <v>27</v>
      </c>
      <c r="K29" s="2">
        <v>34.5</v>
      </c>
      <c r="L29" s="2">
        <v>100</v>
      </c>
      <c r="M29" s="1" t="s">
        <v>273</v>
      </c>
      <c r="N29" s="1" t="s">
        <v>274</v>
      </c>
      <c r="O29" s="1" t="s">
        <v>275</v>
      </c>
      <c r="P29" s="8" t="s">
        <v>276</v>
      </c>
    </row>
    <row r="30" spans="1:16" ht="15.35" x14ac:dyDescent="0.5">
      <c r="A30" s="6" t="s">
        <v>243</v>
      </c>
      <c r="B30" s="1" t="s">
        <v>244</v>
      </c>
      <c r="C30" s="1" t="s">
        <v>245</v>
      </c>
      <c r="D30" s="1" t="s">
        <v>246</v>
      </c>
      <c r="E30" s="1" t="s">
        <v>247</v>
      </c>
      <c r="F30" s="1" t="s">
        <v>262</v>
      </c>
      <c r="G30" s="1" t="s">
        <v>24</v>
      </c>
      <c r="H30" s="1" t="s">
        <v>246</v>
      </c>
      <c r="I30" s="1" t="s">
        <v>250</v>
      </c>
      <c r="J30" s="1" t="s">
        <v>29</v>
      </c>
      <c r="K30" s="2">
        <v>37.53</v>
      </c>
      <c r="L30" s="2">
        <v>100</v>
      </c>
      <c r="M30" s="1" t="s">
        <v>273</v>
      </c>
      <c r="N30" s="1" t="s">
        <v>274</v>
      </c>
      <c r="O30" s="1" t="s">
        <v>275</v>
      </c>
      <c r="P30" s="8" t="s">
        <v>276</v>
      </c>
    </row>
    <row r="31" spans="1:16" ht="15.35" x14ac:dyDescent="0.5">
      <c r="A31" s="6" t="s">
        <v>243</v>
      </c>
      <c r="B31" s="1" t="s">
        <v>244</v>
      </c>
      <c r="C31" s="1" t="s">
        <v>245</v>
      </c>
      <c r="D31" s="1" t="s">
        <v>246</v>
      </c>
      <c r="E31" s="1" t="s">
        <v>247</v>
      </c>
      <c r="F31" s="1" t="s">
        <v>262</v>
      </c>
      <c r="G31" s="1" t="s">
        <v>24</v>
      </c>
      <c r="H31" s="1" t="s">
        <v>246</v>
      </c>
      <c r="I31" s="1" t="s">
        <v>250</v>
      </c>
      <c r="J31" s="1" t="s">
        <v>31</v>
      </c>
      <c r="K31" s="2">
        <v>44.19</v>
      </c>
      <c r="L31" s="2">
        <v>100</v>
      </c>
      <c r="M31" s="1" t="s">
        <v>273</v>
      </c>
      <c r="N31" s="1" t="s">
        <v>274</v>
      </c>
      <c r="O31" s="1" t="s">
        <v>275</v>
      </c>
      <c r="P31" s="8" t="s">
        <v>276</v>
      </c>
    </row>
    <row r="32" spans="1:16" ht="15.35" x14ac:dyDescent="0.5">
      <c r="A32" s="6" t="s">
        <v>243</v>
      </c>
      <c r="B32" s="1" t="s">
        <v>244</v>
      </c>
      <c r="C32" s="1" t="s">
        <v>245</v>
      </c>
      <c r="D32" s="1" t="s">
        <v>246</v>
      </c>
      <c r="E32" s="1" t="s">
        <v>247</v>
      </c>
      <c r="F32" s="1" t="s">
        <v>262</v>
      </c>
      <c r="G32" s="1" t="s">
        <v>24</v>
      </c>
      <c r="H32" s="1" t="s">
        <v>246</v>
      </c>
      <c r="I32" s="1" t="s">
        <v>250</v>
      </c>
      <c r="J32" s="1" t="s">
        <v>33</v>
      </c>
      <c r="K32" s="2">
        <v>23.44</v>
      </c>
      <c r="L32" s="2">
        <v>100</v>
      </c>
      <c r="M32" s="1" t="s">
        <v>273</v>
      </c>
      <c r="N32" s="1" t="s">
        <v>274</v>
      </c>
      <c r="O32" s="1" t="s">
        <v>275</v>
      </c>
      <c r="P32" s="8" t="s">
        <v>276</v>
      </c>
    </row>
    <row r="33" spans="1:16" ht="15.35" x14ac:dyDescent="0.5">
      <c r="A33" s="6" t="s">
        <v>243</v>
      </c>
      <c r="B33" s="1" t="s">
        <v>244</v>
      </c>
      <c r="C33" s="1" t="s">
        <v>245</v>
      </c>
      <c r="D33" s="1" t="s">
        <v>246</v>
      </c>
      <c r="E33" s="1" t="s">
        <v>247</v>
      </c>
      <c r="F33" s="1" t="s">
        <v>262</v>
      </c>
      <c r="G33" s="1" t="s">
        <v>24</v>
      </c>
      <c r="H33" s="1" t="s">
        <v>246</v>
      </c>
      <c r="I33" s="1" t="s">
        <v>250</v>
      </c>
      <c r="J33" s="1" t="s">
        <v>35</v>
      </c>
      <c r="K33" s="2">
        <v>47.55</v>
      </c>
      <c r="L33" s="2">
        <v>100</v>
      </c>
      <c r="M33" s="1" t="s">
        <v>273</v>
      </c>
      <c r="N33" s="1" t="s">
        <v>274</v>
      </c>
      <c r="O33" s="1" t="s">
        <v>275</v>
      </c>
      <c r="P33" s="8" t="s">
        <v>276</v>
      </c>
    </row>
    <row r="34" spans="1:16" ht="15.35" x14ac:dyDescent="0.5">
      <c r="A34" s="6" t="s">
        <v>243</v>
      </c>
      <c r="B34" s="1" t="s">
        <v>244</v>
      </c>
      <c r="C34" s="1" t="s">
        <v>245</v>
      </c>
      <c r="D34" s="1" t="s">
        <v>246</v>
      </c>
      <c r="E34" s="1" t="s">
        <v>247</v>
      </c>
      <c r="F34" s="1" t="s">
        <v>262</v>
      </c>
      <c r="G34" s="1" t="s">
        <v>24</v>
      </c>
      <c r="H34" s="1" t="s">
        <v>246</v>
      </c>
      <c r="I34" s="1" t="s">
        <v>250</v>
      </c>
      <c r="J34" s="1" t="s">
        <v>37</v>
      </c>
      <c r="K34" s="2">
        <v>23.44</v>
      </c>
      <c r="L34" s="2">
        <v>100</v>
      </c>
      <c r="M34" s="1" t="s">
        <v>273</v>
      </c>
      <c r="N34" s="1" t="s">
        <v>274</v>
      </c>
      <c r="O34" s="1" t="s">
        <v>275</v>
      </c>
      <c r="P34" s="8" t="s">
        <v>276</v>
      </c>
    </row>
    <row r="35" spans="1:16" ht="15.35" x14ac:dyDescent="0.5">
      <c r="A35" s="6" t="s">
        <v>243</v>
      </c>
      <c r="B35" s="1" t="s">
        <v>244</v>
      </c>
      <c r="C35" s="1" t="s">
        <v>245</v>
      </c>
      <c r="D35" s="1" t="s">
        <v>246</v>
      </c>
      <c r="E35" s="1" t="s">
        <v>247</v>
      </c>
      <c r="F35" s="1" t="s">
        <v>262</v>
      </c>
      <c r="G35" s="1" t="s">
        <v>24</v>
      </c>
      <c r="H35" s="1" t="s">
        <v>246</v>
      </c>
      <c r="I35" s="1" t="s">
        <v>250</v>
      </c>
      <c r="J35" s="1" t="s">
        <v>39</v>
      </c>
      <c r="K35" s="2">
        <v>71.27</v>
      </c>
      <c r="L35" s="2">
        <v>100</v>
      </c>
      <c r="M35" s="1" t="s">
        <v>273</v>
      </c>
      <c r="N35" s="1" t="s">
        <v>274</v>
      </c>
      <c r="O35" s="1" t="s">
        <v>275</v>
      </c>
      <c r="P35" s="8" t="s">
        <v>276</v>
      </c>
    </row>
    <row r="36" spans="1:16" ht="15.35" x14ac:dyDescent="0.5">
      <c r="A36" s="6" t="s">
        <v>243</v>
      </c>
      <c r="B36" s="1" t="s">
        <v>244</v>
      </c>
      <c r="C36" s="1" t="s">
        <v>245</v>
      </c>
      <c r="D36" s="1" t="s">
        <v>246</v>
      </c>
      <c r="E36" s="1" t="s">
        <v>247</v>
      </c>
      <c r="F36" s="1" t="s">
        <v>262</v>
      </c>
      <c r="G36" s="1" t="s">
        <v>24</v>
      </c>
      <c r="H36" s="1" t="s">
        <v>246</v>
      </c>
      <c r="I36" s="1" t="s">
        <v>250</v>
      </c>
      <c r="J36" s="1" t="s">
        <v>55</v>
      </c>
      <c r="K36" s="2">
        <v>15.28</v>
      </c>
      <c r="L36" s="2">
        <v>100</v>
      </c>
      <c r="M36" s="1" t="s">
        <v>263</v>
      </c>
      <c r="N36" s="1" t="s">
        <v>264</v>
      </c>
      <c r="O36" s="1" t="s">
        <v>255</v>
      </c>
      <c r="P36" s="8" t="s">
        <v>256</v>
      </c>
    </row>
    <row r="37" spans="1:16" ht="15.35" x14ac:dyDescent="0.5">
      <c r="A37" s="6" t="s">
        <v>243</v>
      </c>
      <c r="B37" s="1" t="s">
        <v>244</v>
      </c>
      <c r="C37" s="1" t="s">
        <v>245</v>
      </c>
      <c r="D37" s="1" t="s">
        <v>246</v>
      </c>
      <c r="E37" s="1" t="s">
        <v>247</v>
      </c>
      <c r="F37" s="1" t="s">
        <v>262</v>
      </c>
      <c r="G37" s="1" t="s">
        <v>24</v>
      </c>
      <c r="H37" s="1" t="s">
        <v>246</v>
      </c>
      <c r="I37" s="1" t="s">
        <v>290</v>
      </c>
      <c r="J37" s="1" t="s">
        <v>59</v>
      </c>
      <c r="K37" s="2">
        <v>61.24</v>
      </c>
      <c r="L37" s="2">
        <v>100</v>
      </c>
      <c r="M37" s="1" t="s">
        <v>251</v>
      </c>
      <c r="N37" s="1" t="s">
        <v>252</v>
      </c>
      <c r="O37" s="1" t="s">
        <v>291</v>
      </c>
      <c r="P37" s="8" t="s">
        <v>292</v>
      </c>
    </row>
    <row r="38" spans="1:16" ht="15.35" x14ac:dyDescent="0.5">
      <c r="A38" s="6" t="s">
        <v>243</v>
      </c>
      <c r="B38" s="1" t="s">
        <v>244</v>
      </c>
      <c r="C38" s="1" t="s">
        <v>245</v>
      </c>
      <c r="D38" s="1" t="s">
        <v>246</v>
      </c>
      <c r="E38" s="1" t="s">
        <v>247</v>
      </c>
      <c r="F38" s="1" t="s">
        <v>262</v>
      </c>
      <c r="G38" s="1" t="s">
        <v>24</v>
      </c>
      <c r="H38" s="1" t="s">
        <v>246</v>
      </c>
      <c r="I38" s="1" t="s">
        <v>290</v>
      </c>
      <c r="J38" s="1" t="s">
        <v>87</v>
      </c>
      <c r="K38" s="2">
        <v>123.68</v>
      </c>
      <c r="L38" s="2">
        <v>100</v>
      </c>
      <c r="M38" s="1" t="s">
        <v>293</v>
      </c>
      <c r="N38" s="1" t="s">
        <v>84</v>
      </c>
      <c r="O38" s="1" t="s">
        <v>294</v>
      </c>
      <c r="P38" s="8" t="s">
        <v>295</v>
      </c>
    </row>
    <row r="39" spans="1:16" ht="30.35" x14ac:dyDescent="0.5">
      <c r="A39" s="6" t="s">
        <v>243</v>
      </c>
      <c r="B39" s="1" t="s">
        <v>244</v>
      </c>
      <c r="C39" s="1" t="s">
        <v>245</v>
      </c>
      <c r="D39" s="1" t="s">
        <v>246</v>
      </c>
      <c r="E39" s="1" t="s">
        <v>247</v>
      </c>
      <c r="F39" s="1" t="s">
        <v>262</v>
      </c>
      <c r="G39" s="1" t="s">
        <v>24</v>
      </c>
      <c r="H39" s="1" t="s">
        <v>246</v>
      </c>
      <c r="I39" s="1" t="s">
        <v>290</v>
      </c>
      <c r="J39" s="1" t="s">
        <v>67</v>
      </c>
      <c r="K39" s="2">
        <v>12.41</v>
      </c>
      <c r="L39" s="2">
        <v>100</v>
      </c>
      <c r="M39" s="1" t="s">
        <v>285</v>
      </c>
      <c r="N39" s="1" t="s">
        <v>286</v>
      </c>
      <c r="O39" s="1" t="s">
        <v>296</v>
      </c>
      <c r="P39" s="8" t="s">
        <v>297</v>
      </c>
    </row>
    <row r="40" spans="1:16" ht="30.35" x14ac:dyDescent="0.5">
      <c r="A40" s="6" t="s">
        <v>243</v>
      </c>
      <c r="B40" s="1" t="s">
        <v>244</v>
      </c>
      <c r="C40" s="1" t="s">
        <v>245</v>
      </c>
      <c r="D40" s="1" t="s">
        <v>246</v>
      </c>
      <c r="E40" s="1" t="s">
        <v>247</v>
      </c>
      <c r="F40" s="1" t="s">
        <v>262</v>
      </c>
      <c r="G40" s="1" t="s">
        <v>24</v>
      </c>
      <c r="H40" s="1" t="s">
        <v>246</v>
      </c>
      <c r="I40" s="1" t="s">
        <v>290</v>
      </c>
      <c r="J40" s="1" t="s">
        <v>69</v>
      </c>
      <c r="K40" s="2">
        <v>43.65</v>
      </c>
      <c r="L40" s="2">
        <v>100</v>
      </c>
      <c r="M40" s="1" t="s">
        <v>285</v>
      </c>
      <c r="N40" s="1" t="s">
        <v>286</v>
      </c>
      <c r="O40" s="1" t="s">
        <v>296</v>
      </c>
      <c r="P40" s="8" t="s">
        <v>297</v>
      </c>
    </row>
    <row r="41" spans="1:16" ht="15.35" x14ac:dyDescent="0.5">
      <c r="A41" s="6" t="s">
        <v>243</v>
      </c>
      <c r="B41" s="1" t="s">
        <v>244</v>
      </c>
      <c r="C41" s="1" t="s">
        <v>245</v>
      </c>
      <c r="D41" s="1" t="s">
        <v>246</v>
      </c>
      <c r="E41" s="1" t="s">
        <v>247</v>
      </c>
      <c r="F41" s="1" t="s">
        <v>262</v>
      </c>
      <c r="G41" s="1" t="s">
        <v>24</v>
      </c>
      <c r="H41" s="1" t="s">
        <v>246</v>
      </c>
      <c r="I41" s="1" t="s">
        <v>290</v>
      </c>
      <c r="J41" s="1" t="s">
        <v>81</v>
      </c>
      <c r="K41" s="2">
        <v>13.87</v>
      </c>
      <c r="L41" s="2">
        <v>100</v>
      </c>
      <c r="M41" s="1" t="s">
        <v>277</v>
      </c>
      <c r="N41" s="1" t="s">
        <v>278</v>
      </c>
      <c r="O41" s="1" t="s">
        <v>279</v>
      </c>
      <c r="P41" s="8" t="s">
        <v>280</v>
      </c>
    </row>
    <row r="42" spans="1:16" ht="15.35" x14ac:dyDescent="0.5">
      <c r="A42" s="6" t="s">
        <v>243</v>
      </c>
      <c r="B42" s="1" t="s">
        <v>244</v>
      </c>
      <c r="C42" s="1" t="s">
        <v>245</v>
      </c>
      <c r="D42" s="1" t="s">
        <v>246</v>
      </c>
      <c r="E42" s="1" t="s">
        <v>247</v>
      </c>
      <c r="F42" s="1" t="s">
        <v>262</v>
      </c>
      <c r="G42" s="1" t="s">
        <v>24</v>
      </c>
      <c r="H42" s="1" t="s">
        <v>246</v>
      </c>
      <c r="I42" s="1" t="s">
        <v>290</v>
      </c>
      <c r="J42" s="1" t="s">
        <v>58</v>
      </c>
      <c r="K42" s="2">
        <v>20.05</v>
      </c>
      <c r="L42" s="2">
        <v>100</v>
      </c>
      <c r="M42" s="1" t="s">
        <v>273</v>
      </c>
      <c r="N42" s="1" t="s">
        <v>274</v>
      </c>
      <c r="O42" s="1" t="s">
        <v>275</v>
      </c>
      <c r="P42" s="8" t="s">
        <v>276</v>
      </c>
    </row>
    <row r="43" spans="1:16" ht="15.35" x14ac:dyDescent="0.5">
      <c r="A43" s="6" t="s">
        <v>243</v>
      </c>
      <c r="B43" s="1" t="s">
        <v>244</v>
      </c>
      <c r="C43" s="1" t="s">
        <v>245</v>
      </c>
      <c r="D43" s="1" t="s">
        <v>246</v>
      </c>
      <c r="E43" s="1" t="s">
        <v>247</v>
      </c>
      <c r="F43" s="1" t="s">
        <v>262</v>
      </c>
      <c r="G43" s="1" t="s">
        <v>24</v>
      </c>
      <c r="H43" s="1" t="s">
        <v>246</v>
      </c>
      <c r="I43" s="1" t="s">
        <v>290</v>
      </c>
      <c r="J43" s="1" t="s">
        <v>60</v>
      </c>
      <c r="K43" s="2">
        <v>23.67</v>
      </c>
      <c r="L43" s="2">
        <v>100</v>
      </c>
      <c r="M43" s="1" t="s">
        <v>273</v>
      </c>
      <c r="N43" s="1" t="s">
        <v>274</v>
      </c>
      <c r="O43" s="1" t="s">
        <v>275</v>
      </c>
      <c r="P43" s="8" t="s">
        <v>276</v>
      </c>
    </row>
    <row r="44" spans="1:16" ht="15.35" x14ac:dyDescent="0.5">
      <c r="A44" s="6" t="s">
        <v>243</v>
      </c>
      <c r="B44" s="1" t="s">
        <v>244</v>
      </c>
      <c r="C44" s="1" t="s">
        <v>245</v>
      </c>
      <c r="D44" s="1" t="s">
        <v>246</v>
      </c>
      <c r="E44" s="1" t="s">
        <v>247</v>
      </c>
      <c r="F44" s="1" t="s">
        <v>262</v>
      </c>
      <c r="G44" s="1" t="s">
        <v>24</v>
      </c>
      <c r="H44" s="1" t="s">
        <v>246</v>
      </c>
      <c r="I44" s="1" t="s">
        <v>290</v>
      </c>
      <c r="J44" s="1" t="s">
        <v>62</v>
      </c>
      <c r="K44" s="2">
        <v>23.67</v>
      </c>
      <c r="L44" s="2">
        <v>100</v>
      </c>
      <c r="M44" s="1" t="s">
        <v>273</v>
      </c>
      <c r="N44" s="1" t="s">
        <v>274</v>
      </c>
      <c r="O44" s="1" t="s">
        <v>275</v>
      </c>
      <c r="P44" s="8" t="s">
        <v>276</v>
      </c>
    </row>
    <row r="45" spans="1:16" ht="15.35" x14ac:dyDescent="0.5">
      <c r="A45" s="6" t="s">
        <v>243</v>
      </c>
      <c r="B45" s="1" t="s">
        <v>244</v>
      </c>
      <c r="C45" s="1" t="s">
        <v>245</v>
      </c>
      <c r="D45" s="1" t="s">
        <v>246</v>
      </c>
      <c r="E45" s="1" t="s">
        <v>247</v>
      </c>
      <c r="F45" s="1" t="s">
        <v>262</v>
      </c>
      <c r="G45" s="1" t="s">
        <v>24</v>
      </c>
      <c r="H45" s="1" t="s">
        <v>246</v>
      </c>
      <c r="I45" s="1" t="s">
        <v>290</v>
      </c>
      <c r="J45" s="1" t="s">
        <v>103</v>
      </c>
      <c r="K45" s="2">
        <v>12.27</v>
      </c>
      <c r="L45" s="2">
        <v>100</v>
      </c>
      <c r="M45" s="1" t="s">
        <v>269</v>
      </c>
      <c r="N45" s="1" t="s">
        <v>270</v>
      </c>
      <c r="O45" s="1" t="s">
        <v>271</v>
      </c>
      <c r="P45" s="8" t="s">
        <v>272</v>
      </c>
    </row>
    <row r="46" spans="1:16" ht="15.35" x14ac:dyDescent="0.5">
      <c r="A46" s="7" t="s">
        <v>243</v>
      </c>
      <c r="B46" s="3" t="s">
        <v>244</v>
      </c>
      <c r="C46" s="3" t="s">
        <v>245</v>
      </c>
      <c r="D46" s="3" t="s">
        <v>246</v>
      </c>
      <c r="E46" s="3" t="s">
        <v>247</v>
      </c>
      <c r="F46" s="3" t="s">
        <v>262</v>
      </c>
      <c r="G46" s="3" t="s">
        <v>24</v>
      </c>
      <c r="H46" s="3" t="s">
        <v>246</v>
      </c>
      <c r="I46" s="3" t="s">
        <v>290</v>
      </c>
      <c r="J46" s="3" t="s">
        <v>64</v>
      </c>
      <c r="K46" s="4">
        <v>12.06</v>
      </c>
      <c r="L46" s="4">
        <v>100</v>
      </c>
      <c r="M46" s="3" t="s">
        <v>269</v>
      </c>
      <c r="N46" s="5" t="s">
        <v>274</v>
      </c>
      <c r="O46" s="5" t="s">
        <v>275</v>
      </c>
      <c r="P46" s="9" t="s">
        <v>276</v>
      </c>
    </row>
    <row r="47" spans="1:16" ht="15.35" x14ac:dyDescent="0.5">
      <c r="A47" s="6" t="s">
        <v>243</v>
      </c>
      <c r="B47" s="1" t="s">
        <v>244</v>
      </c>
      <c r="C47" s="1" t="s">
        <v>245</v>
      </c>
      <c r="D47" s="1" t="s">
        <v>246</v>
      </c>
      <c r="E47" s="1" t="s">
        <v>247</v>
      </c>
      <c r="F47" s="1" t="s">
        <v>262</v>
      </c>
      <c r="G47" s="1" t="s">
        <v>24</v>
      </c>
      <c r="H47" s="1" t="s">
        <v>246</v>
      </c>
      <c r="I47" s="1" t="s">
        <v>290</v>
      </c>
      <c r="J47" s="1" t="s">
        <v>66</v>
      </c>
      <c r="K47" s="2">
        <v>33.729999999999997</v>
      </c>
      <c r="L47" s="2">
        <v>100</v>
      </c>
      <c r="M47" s="1" t="s">
        <v>273</v>
      </c>
      <c r="N47" s="1" t="s">
        <v>274</v>
      </c>
      <c r="O47" s="1" t="s">
        <v>275</v>
      </c>
      <c r="P47" s="8" t="s">
        <v>276</v>
      </c>
    </row>
    <row r="48" spans="1:16" ht="15.35" x14ac:dyDescent="0.5">
      <c r="A48" s="7" t="s">
        <v>243</v>
      </c>
      <c r="B48" s="3" t="s">
        <v>244</v>
      </c>
      <c r="C48" s="3" t="s">
        <v>245</v>
      </c>
      <c r="D48" s="3" t="s">
        <v>246</v>
      </c>
      <c r="E48" s="3" t="s">
        <v>247</v>
      </c>
      <c r="F48" s="3" t="s">
        <v>262</v>
      </c>
      <c r="G48" s="3" t="s">
        <v>24</v>
      </c>
      <c r="H48" s="3" t="s">
        <v>246</v>
      </c>
      <c r="I48" s="3" t="s">
        <v>290</v>
      </c>
      <c r="J48" s="3" t="s">
        <v>68</v>
      </c>
      <c r="K48" s="4">
        <v>30.75</v>
      </c>
      <c r="L48" s="4">
        <v>100</v>
      </c>
      <c r="M48" s="3" t="s">
        <v>269</v>
      </c>
      <c r="N48" s="5" t="s">
        <v>274</v>
      </c>
      <c r="O48" s="5" t="s">
        <v>275</v>
      </c>
      <c r="P48" s="9" t="s">
        <v>276</v>
      </c>
    </row>
    <row r="49" spans="1:16" ht="15.35" x14ac:dyDescent="0.5">
      <c r="A49" s="6" t="s">
        <v>243</v>
      </c>
      <c r="B49" s="1" t="s">
        <v>244</v>
      </c>
      <c r="C49" s="1" t="s">
        <v>245</v>
      </c>
      <c r="D49" s="1" t="s">
        <v>246</v>
      </c>
      <c r="E49" s="1" t="s">
        <v>247</v>
      </c>
      <c r="F49" s="1" t="s">
        <v>262</v>
      </c>
      <c r="G49" s="1" t="s">
        <v>24</v>
      </c>
      <c r="H49" s="1" t="s">
        <v>246</v>
      </c>
      <c r="I49" s="1" t="s">
        <v>290</v>
      </c>
      <c r="J49" s="1" t="s">
        <v>70</v>
      </c>
      <c r="K49" s="2">
        <v>23.6</v>
      </c>
      <c r="L49" s="2">
        <v>100</v>
      </c>
      <c r="M49" s="1" t="s">
        <v>273</v>
      </c>
      <c r="N49" s="1" t="s">
        <v>274</v>
      </c>
      <c r="O49" s="1" t="s">
        <v>275</v>
      </c>
      <c r="P49" s="8" t="s">
        <v>276</v>
      </c>
    </row>
    <row r="50" spans="1:16" ht="15.35" x14ac:dyDescent="0.5">
      <c r="A50" s="6" t="s">
        <v>243</v>
      </c>
      <c r="B50" s="1" t="s">
        <v>244</v>
      </c>
      <c r="C50" s="1" t="s">
        <v>245</v>
      </c>
      <c r="D50" s="1" t="s">
        <v>246</v>
      </c>
      <c r="E50" s="1" t="s">
        <v>247</v>
      </c>
      <c r="F50" s="1" t="s">
        <v>262</v>
      </c>
      <c r="G50" s="1" t="s">
        <v>24</v>
      </c>
      <c r="H50" s="1" t="s">
        <v>246</v>
      </c>
      <c r="I50" s="1" t="s">
        <v>290</v>
      </c>
      <c r="J50" s="1" t="s">
        <v>79</v>
      </c>
      <c r="K50" s="2">
        <v>16.82</v>
      </c>
      <c r="L50" s="2">
        <v>100</v>
      </c>
      <c r="M50" s="1" t="s">
        <v>263</v>
      </c>
      <c r="N50" s="1" t="s">
        <v>264</v>
      </c>
      <c r="O50" s="1" t="s">
        <v>255</v>
      </c>
      <c r="P50" s="8" t="s">
        <v>256</v>
      </c>
    </row>
    <row r="51" spans="1:16" ht="15.35" x14ac:dyDescent="0.5">
      <c r="A51" s="6" t="s">
        <v>243</v>
      </c>
      <c r="B51" s="1" t="s">
        <v>244</v>
      </c>
      <c r="C51" s="1" t="s">
        <v>245</v>
      </c>
      <c r="D51" s="1" t="s">
        <v>246</v>
      </c>
      <c r="E51" s="1" t="s">
        <v>247</v>
      </c>
      <c r="F51" s="1" t="s">
        <v>262</v>
      </c>
      <c r="G51" s="1" t="s">
        <v>24</v>
      </c>
      <c r="H51" s="1" t="s">
        <v>246</v>
      </c>
      <c r="I51" s="1" t="s">
        <v>298</v>
      </c>
      <c r="J51" s="1" t="s">
        <v>121</v>
      </c>
      <c r="K51" s="2">
        <v>59.87</v>
      </c>
      <c r="L51" s="2">
        <v>100</v>
      </c>
      <c r="M51" s="1" t="s">
        <v>299</v>
      </c>
      <c r="N51" s="1" t="s">
        <v>118</v>
      </c>
      <c r="O51" s="1" t="s">
        <v>300</v>
      </c>
      <c r="P51" s="8" t="s">
        <v>301</v>
      </c>
    </row>
    <row r="52" spans="1:16" ht="15.35" x14ac:dyDescent="0.5">
      <c r="A52" s="6" t="s">
        <v>243</v>
      </c>
      <c r="B52" s="1" t="s">
        <v>244</v>
      </c>
      <c r="C52" s="1" t="s">
        <v>245</v>
      </c>
      <c r="D52" s="1" t="s">
        <v>246</v>
      </c>
      <c r="E52" s="1" t="s">
        <v>247</v>
      </c>
      <c r="F52" s="1" t="s">
        <v>262</v>
      </c>
      <c r="G52" s="1" t="s">
        <v>24</v>
      </c>
      <c r="H52" s="1" t="s">
        <v>246</v>
      </c>
      <c r="I52" s="1" t="s">
        <v>298</v>
      </c>
      <c r="J52" s="1" t="s">
        <v>123</v>
      </c>
      <c r="K52" s="2">
        <v>18.670000000000002</v>
      </c>
      <c r="L52" s="2">
        <v>100</v>
      </c>
      <c r="M52" s="1" t="s">
        <v>299</v>
      </c>
      <c r="N52" s="1" t="s">
        <v>118</v>
      </c>
      <c r="O52" s="1" t="s">
        <v>302</v>
      </c>
      <c r="P52" s="8" t="s">
        <v>303</v>
      </c>
    </row>
    <row r="53" spans="1:16" ht="15.35" x14ac:dyDescent="0.5">
      <c r="A53" s="6" t="s">
        <v>243</v>
      </c>
      <c r="B53" s="1" t="s">
        <v>244</v>
      </c>
      <c r="C53" s="1" t="s">
        <v>245</v>
      </c>
      <c r="D53" s="1" t="s">
        <v>246</v>
      </c>
      <c r="E53" s="1" t="s">
        <v>247</v>
      </c>
      <c r="F53" s="1" t="s">
        <v>262</v>
      </c>
      <c r="G53" s="1" t="s">
        <v>24</v>
      </c>
      <c r="H53" s="1" t="s">
        <v>246</v>
      </c>
      <c r="I53" s="1" t="s">
        <v>298</v>
      </c>
      <c r="J53" s="1" t="s">
        <v>132</v>
      </c>
      <c r="K53" s="2">
        <v>12.74</v>
      </c>
      <c r="L53" s="2">
        <v>100</v>
      </c>
      <c r="M53" s="1" t="s">
        <v>269</v>
      </c>
      <c r="N53" s="1" t="s">
        <v>270</v>
      </c>
      <c r="O53" s="1" t="s">
        <v>271</v>
      </c>
      <c r="P53" s="8" t="s">
        <v>272</v>
      </c>
    </row>
    <row r="54" spans="1:16" ht="15.35" x14ac:dyDescent="0.5">
      <c r="A54" s="6" t="s">
        <v>243</v>
      </c>
      <c r="B54" s="1" t="s">
        <v>244</v>
      </c>
      <c r="C54" s="1" t="s">
        <v>245</v>
      </c>
      <c r="D54" s="1" t="s">
        <v>246</v>
      </c>
      <c r="E54" s="1" t="s">
        <v>247</v>
      </c>
      <c r="F54" s="1" t="s">
        <v>262</v>
      </c>
      <c r="G54" s="1" t="s">
        <v>24</v>
      </c>
      <c r="H54" s="1" t="s">
        <v>246</v>
      </c>
      <c r="I54" s="1" t="s">
        <v>298</v>
      </c>
      <c r="J54" s="1" t="s">
        <v>133</v>
      </c>
      <c r="K54" s="2">
        <v>15.07</v>
      </c>
      <c r="L54" s="2">
        <v>100</v>
      </c>
      <c r="M54" s="1" t="s">
        <v>269</v>
      </c>
      <c r="N54" s="1" t="s">
        <v>270</v>
      </c>
      <c r="O54" s="1" t="s">
        <v>271</v>
      </c>
      <c r="P54" s="8" t="s">
        <v>272</v>
      </c>
    </row>
    <row r="55" spans="1:16" ht="15.35" x14ac:dyDescent="0.5">
      <c r="A55" s="6" t="s">
        <v>243</v>
      </c>
      <c r="B55" s="1" t="s">
        <v>244</v>
      </c>
      <c r="C55" s="1" t="s">
        <v>245</v>
      </c>
      <c r="D55" s="1" t="s">
        <v>246</v>
      </c>
      <c r="E55" s="1" t="s">
        <v>247</v>
      </c>
      <c r="F55" s="1" t="s">
        <v>262</v>
      </c>
      <c r="G55" s="1" t="s">
        <v>24</v>
      </c>
      <c r="H55" s="1" t="s">
        <v>246</v>
      </c>
      <c r="I55" s="1" t="s">
        <v>298</v>
      </c>
      <c r="J55" s="1" t="s">
        <v>134</v>
      </c>
      <c r="K55" s="2">
        <v>15.07</v>
      </c>
      <c r="L55" s="2">
        <v>100</v>
      </c>
      <c r="M55" s="1" t="s">
        <v>269</v>
      </c>
      <c r="N55" s="1" t="s">
        <v>270</v>
      </c>
      <c r="O55" s="1" t="s">
        <v>271</v>
      </c>
      <c r="P55" s="8" t="s">
        <v>272</v>
      </c>
    </row>
    <row r="56" spans="1:16" ht="15.35" x14ac:dyDescent="0.5">
      <c r="A56" s="6" t="s">
        <v>243</v>
      </c>
      <c r="B56" s="1" t="s">
        <v>244</v>
      </c>
      <c r="C56" s="1" t="s">
        <v>245</v>
      </c>
      <c r="D56" s="1" t="s">
        <v>246</v>
      </c>
      <c r="E56" s="1" t="s">
        <v>247</v>
      </c>
      <c r="F56" s="1" t="s">
        <v>262</v>
      </c>
      <c r="G56" s="1" t="s">
        <v>24</v>
      </c>
      <c r="H56" s="1" t="s">
        <v>246</v>
      </c>
      <c r="I56" s="1" t="s">
        <v>298</v>
      </c>
      <c r="J56" s="1" t="s">
        <v>135</v>
      </c>
      <c r="K56" s="2">
        <v>15.07</v>
      </c>
      <c r="L56" s="2">
        <v>100</v>
      </c>
      <c r="M56" s="1" t="s">
        <v>269</v>
      </c>
      <c r="N56" s="1" t="s">
        <v>270</v>
      </c>
      <c r="O56" s="1" t="s">
        <v>271</v>
      </c>
      <c r="P56" s="8" t="s">
        <v>272</v>
      </c>
    </row>
    <row r="57" spans="1:16" ht="15.35" x14ac:dyDescent="0.5">
      <c r="A57" s="6" t="s">
        <v>243</v>
      </c>
      <c r="B57" s="1" t="s">
        <v>244</v>
      </c>
      <c r="C57" s="1" t="s">
        <v>245</v>
      </c>
      <c r="D57" s="1" t="s">
        <v>246</v>
      </c>
      <c r="E57" s="1" t="s">
        <v>247</v>
      </c>
      <c r="F57" s="1" t="s">
        <v>262</v>
      </c>
      <c r="G57" s="1" t="s">
        <v>24</v>
      </c>
      <c r="H57" s="1" t="s">
        <v>246</v>
      </c>
      <c r="I57" s="1" t="s">
        <v>298</v>
      </c>
      <c r="J57" s="1" t="s">
        <v>136</v>
      </c>
      <c r="K57" s="2">
        <v>15.07</v>
      </c>
      <c r="L57" s="2">
        <v>100</v>
      </c>
      <c r="M57" s="1" t="s">
        <v>269</v>
      </c>
      <c r="N57" s="1" t="s">
        <v>270</v>
      </c>
      <c r="O57" s="1" t="s">
        <v>271</v>
      </c>
      <c r="P57" s="8" t="s">
        <v>272</v>
      </c>
    </row>
    <row r="58" spans="1:16" ht="15.35" x14ac:dyDescent="0.5">
      <c r="A58" s="6" t="s">
        <v>243</v>
      </c>
      <c r="B58" s="1" t="s">
        <v>244</v>
      </c>
      <c r="C58" s="1" t="s">
        <v>245</v>
      </c>
      <c r="D58" s="1" t="s">
        <v>246</v>
      </c>
      <c r="E58" s="1" t="s">
        <v>247</v>
      </c>
      <c r="F58" s="1" t="s">
        <v>262</v>
      </c>
      <c r="G58" s="1" t="s">
        <v>24</v>
      </c>
      <c r="H58" s="1" t="s">
        <v>246</v>
      </c>
      <c r="I58" s="1" t="s">
        <v>298</v>
      </c>
      <c r="J58" s="1" t="s">
        <v>137</v>
      </c>
      <c r="K58" s="2">
        <v>15.07</v>
      </c>
      <c r="L58" s="2">
        <v>100</v>
      </c>
      <c r="M58" s="1" t="s">
        <v>269</v>
      </c>
      <c r="N58" s="1" t="s">
        <v>270</v>
      </c>
      <c r="O58" s="1" t="s">
        <v>271</v>
      </c>
      <c r="P58" s="8" t="s">
        <v>272</v>
      </c>
    </row>
    <row r="59" spans="1:16" ht="15.35" x14ac:dyDescent="0.5">
      <c r="A59" s="6" t="s">
        <v>243</v>
      </c>
      <c r="B59" s="1" t="s">
        <v>244</v>
      </c>
      <c r="C59" s="1" t="s">
        <v>245</v>
      </c>
      <c r="D59" s="1" t="s">
        <v>246</v>
      </c>
      <c r="E59" s="1" t="s">
        <v>247</v>
      </c>
      <c r="F59" s="1" t="s">
        <v>262</v>
      </c>
      <c r="G59" s="1" t="s">
        <v>24</v>
      </c>
      <c r="H59" s="1" t="s">
        <v>246</v>
      </c>
      <c r="I59" s="1" t="s">
        <v>298</v>
      </c>
      <c r="J59" s="1" t="s">
        <v>138</v>
      </c>
      <c r="K59" s="2">
        <v>15.07</v>
      </c>
      <c r="L59" s="2">
        <v>100</v>
      </c>
      <c r="M59" s="1" t="s">
        <v>269</v>
      </c>
      <c r="N59" s="1" t="s">
        <v>270</v>
      </c>
      <c r="O59" s="1" t="s">
        <v>271</v>
      </c>
      <c r="P59" s="8" t="s">
        <v>272</v>
      </c>
    </row>
    <row r="60" spans="1:16" ht="15.35" x14ac:dyDescent="0.5">
      <c r="A60" s="6" t="s">
        <v>243</v>
      </c>
      <c r="B60" s="1" t="s">
        <v>244</v>
      </c>
      <c r="C60" s="1" t="s">
        <v>245</v>
      </c>
      <c r="D60" s="1" t="s">
        <v>246</v>
      </c>
      <c r="E60" s="1" t="s">
        <v>247</v>
      </c>
      <c r="F60" s="1" t="s">
        <v>262</v>
      </c>
      <c r="G60" s="1" t="s">
        <v>24</v>
      </c>
      <c r="H60" s="1" t="s">
        <v>246</v>
      </c>
      <c r="I60" s="1" t="s">
        <v>298</v>
      </c>
      <c r="J60" s="1" t="s">
        <v>139</v>
      </c>
      <c r="K60" s="2">
        <v>15.07</v>
      </c>
      <c r="L60" s="2">
        <v>100</v>
      </c>
      <c r="M60" s="1" t="s">
        <v>269</v>
      </c>
      <c r="N60" s="1" t="s">
        <v>270</v>
      </c>
      <c r="O60" s="1" t="s">
        <v>271</v>
      </c>
      <c r="P60" s="8" t="s">
        <v>272</v>
      </c>
    </row>
    <row r="61" spans="1:16" ht="30.35" x14ac:dyDescent="0.5">
      <c r="A61" s="6" t="s">
        <v>243</v>
      </c>
      <c r="B61" s="1" t="s">
        <v>244</v>
      </c>
      <c r="C61" s="1" t="s">
        <v>245</v>
      </c>
      <c r="D61" s="1" t="s">
        <v>246</v>
      </c>
      <c r="E61" s="1" t="s">
        <v>247</v>
      </c>
      <c r="F61" s="1" t="s">
        <v>262</v>
      </c>
      <c r="G61" s="1" t="s">
        <v>24</v>
      </c>
      <c r="H61" s="1" t="s">
        <v>246</v>
      </c>
      <c r="I61" s="1" t="s">
        <v>298</v>
      </c>
      <c r="J61" s="1" t="s">
        <v>140</v>
      </c>
      <c r="K61" s="2">
        <v>15.17</v>
      </c>
      <c r="L61" s="2">
        <v>100</v>
      </c>
      <c r="M61" s="1" t="s">
        <v>281</v>
      </c>
      <c r="N61" s="1" t="s">
        <v>282</v>
      </c>
      <c r="O61" s="1" t="s">
        <v>283</v>
      </c>
      <c r="P61" s="8" t="s">
        <v>284</v>
      </c>
    </row>
    <row r="62" spans="1:16" ht="15.35" x14ac:dyDescent="0.5">
      <c r="A62" s="6" t="s">
        <v>243</v>
      </c>
      <c r="B62" s="1" t="s">
        <v>244</v>
      </c>
      <c r="C62" s="1" t="s">
        <v>245</v>
      </c>
      <c r="D62" s="1" t="s">
        <v>246</v>
      </c>
      <c r="E62" s="1" t="s">
        <v>247</v>
      </c>
      <c r="F62" s="1" t="s">
        <v>262</v>
      </c>
      <c r="G62" s="1" t="s">
        <v>24</v>
      </c>
      <c r="H62" s="1" t="s">
        <v>246</v>
      </c>
      <c r="I62" s="1" t="s">
        <v>298</v>
      </c>
      <c r="J62" s="1" t="s">
        <v>111</v>
      </c>
      <c r="K62" s="2">
        <v>3.48</v>
      </c>
      <c r="L62" s="2">
        <v>100</v>
      </c>
      <c r="M62" s="1" t="s">
        <v>263</v>
      </c>
      <c r="N62" s="1" t="s">
        <v>264</v>
      </c>
      <c r="O62" s="1" t="s">
        <v>255</v>
      </c>
      <c r="P62" s="8" t="s">
        <v>256</v>
      </c>
    </row>
    <row r="63" spans="1:16" ht="15.35" x14ac:dyDescent="0.5">
      <c r="A63" s="7" t="s">
        <v>243</v>
      </c>
      <c r="B63" s="3" t="s">
        <v>244</v>
      </c>
      <c r="C63" s="3" t="s">
        <v>245</v>
      </c>
      <c r="D63" s="3" t="s">
        <v>246</v>
      </c>
      <c r="E63" s="3" t="s">
        <v>247</v>
      </c>
      <c r="F63" s="3" t="s">
        <v>262</v>
      </c>
      <c r="G63" s="3" t="s">
        <v>24</v>
      </c>
      <c r="H63" s="3" t="s">
        <v>246</v>
      </c>
      <c r="I63" s="3" t="s">
        <v>298</v>
      </c>
      <c r="J63" s="3" t="s">
        <v>141</v>
      </c>
      <c r="K63" s="4">
        <v>26.94</v>
      </c>
      <c r="L63" s="4">
        <v>100</v>
      </c>
      <c r="M63" s="3" t="s">
        <v>251</v>
      </c>
      <c r="N63" s="3" t="s">
        <v>252</v>
      </c>
      <c r="O63" s="3" t="s">
        <v>304</v>
      </c>
      <c r="P63" s="10" t="s">
        <v>305</v>
      </c>
    </row>
    <row r="64" spans="1:16" ht="15.35" x14ac:dyDescent="0.5">
      <c r="A64" s="6" t="s">
        <v>243</v>
      </c>
      <c r="B64" s="1" t="s">
        <v>244</v>
      </c>
      <c r="C64" s="1" t="s">
        <v>245</v>
      </c>
      <c r="D64" s="1" t="s">
        <v>246</v>
      </c>
      <c r="E64" s="1" t="s">
        <v>247</v>
      </c>
      <c r="F64" s="1" t="s">
        <v>262</v>
      </c>
      <c r="G64" s="1" t="s">
        <v>24</v>
      </c>
      <c r="H64" s="1" t="s">
        <v>246</v>
      </c>
      <c r="I64" s="1" t="s">
        <v>298</v>
      </c>
      <c r="J64" s="1" t="s">
        <v>142</v>
      </c>
      <c r="K64" s="2">
        <v>17.739999999999998</v>
      </c>
      <c r="L64" s="2">
        <v>100</v>
      </c>
      <c r="M64" s="1" t="s">
        <v>251</v>
      </c>
      <c r="N64" s="1" t="s">
        <v>252</v>
      </c>
      <c r="O64" s="1" t="s">
        <v>291</v>
      </c>
      <c r="P64" s="8" t="s">
        <v>292</v>
      </c>
    </row>
    <row r="65" spans="1:16" ht="15.35" x14ac:dyDescent="0.5">
      <c r="A65" s="7" t="s">
        <v>243</v>
      </c>
      <c r="B65" s="3" t="s">
        <v>244</v>
      </c>
      <c r="C65" s="3" t="s">
        <v>245</v>
      </c>
      <c r="D65" s="3" t="s">
        <v>246</v>
      </c>
      <c r="E65" s="3" t="s">
        <v>247</v>
      </c>
      <c r="F65" s="3" t="s">
        <v>262</v>
      </c>
      <c r="G65" s="3" t="s">
        <v>24</v>
      </c>
      <c r="H65" s="3" t="s">
        <v>246</v>
      </c>
      <c r="I65" s="3" t="s">
        <v>298</v>
      </c>
      <c r="J65" s="3" t="s">
        <v>104</v>
      </c>
      <c r="K65" s="4">
        <v>15.08</v>
      </c>
      <c r="L65" s="4">
        <v>100</v>
      </c>
      <c r="M65" s="3" t="s">
        <v>269</v>
      </c>
      <c r="N65" s="5" t="s">
        <v>274</v>
      </c>
      <c r="O65" s="5" t="s">
        <v>275</v>
      </c>
      <c r="P65" s="9" t="s">
        <v>276</v>
      </c>
    </row>
    <row r="66" spans="1:16" ht="15.35" x14ac:dyDescent="0.5">
      <c r="A66" s="6" t="s">
        <v>243</v>
      </c>
      <c r="B66" s="1" t="s">
        <v>244</v>
      </c>
      <c r="C66" s="1" t="s">
        <v>245</v>
      </c>
      <c r="D66" s="1" t="s">
        <v>246</v>
      </c>
      <c r="E66" s="1" t="s">
        <v>247</v>
      </c>
      <c r="F66" s="1" t="s">
        <v>262</v>
      </c>
      <c r="G66" s="1" t="s">
        <v>24</v>
      </c>
      <c r="H66" s="1" t="s">
        <v>246</v>
      </c>
      <c r="I66" s="1" t="s">
        <v>298</v>
      </c>
      <c r="J66" s="1" t="s">
        <v>144</v>
      </c>
      <c r="K66" s="2">
        <v>11.8</v>
      </c>
      <c r="L66" s="2">
        <v>100</v>
      </c>
      <c r="M66" s="1" t="s">
        <v>277</v>
      </c>
      <c r="N66" s="1" t="s">
        <v>278</v>
      </c>
      <c r="O66" s="1" t="s">
        <v>306</v>
      </c>
      <c r="P66" s="8" t="s">
        <v>278</v>
      </c>
    </row>
    <row r="67" spans="1:16" ht="15.35" x14ac:dyDescent="0.5">
      <c r="A67" s="6" t="s">
        <v>243</v>
      </c>
      <c r="B67" s="1" t="s">
        <v>244</v>
      </c>
      <c r="C67" s="1" t="s">
        <v>245</v>
      </c>
      <c r="D67" s="1" t="s">
        <v>246</v>
      </c>
      <c r="E67" s="1" t="s">
        <v>247</v>
      </c>
      <c r="F67" s="1" t="s">
        <v>262</v>
      </c>
      <c r="G67" s="1" t="s">
        <v>24</v>
      </c>
      <c r="H67" s="1" t="s">
        <v>246</v>
      </c>
      <c r="I67" s="1" t="s">
        <v>298</v>
      </c>
      <c r="J67" s="1" t="s">
        <v>145</v>
      </c>
      <c r="K67" s="2">
        <v>12.42</v>
      </c>
      <c r="L67" s="2">
        <v>100</v>
      </c>
      <c r="M67" s="1" t="s">
        <v>277</v>
      </c>
      <c r="N67" s="1" t="s">
        <v>278</v>
      </c>
      <c r="O67" s="1" t="s">
        <v>306</v>
      </c>
      <c r="P67" s="8" t="s">
        <v>278</v>
      </c>
    </row>
    <row r="68" spans="1:16" ht="15.35" x14ac:dyDescent="0.5">
      <c r="A68" s="6" t="s">
        <v>243</v>
      </c>
      <c r="B68" s="1" t="s">
        <v>244</v>
      </c>
      <c r="C68" s="1" t="s">
        <v>245</v>
      </c>
      <c r="D68" s="1" t="s">
        <v>246</v>
      </c>
      <c r="E68" s="1" t="s">
        <v>247</v>
      </c>
      <c r="F68" s="1" t="s">
        <v>262</v>
      </c>
      <c r="G68" s="1" t="s">
        <v>24</v>
      </c>
      <c r="H68" s="1" t="s">
        <v>246</v>
      </c>
      <c r="I68" s="1" t="s">
        <v>298</v>
      </c>
      <c r="J68" s="1" t="s">
        <v>146</v>
      </c>
      <c r="K68" s="2">
        <v>12.42</v>
      </c>
      <c r="L68" s="2">
        <v>100</v>
      </c>
      <c r="M68" s="1" t="s">
        <v>277</v>
      </c>
      <c r="N68" s="1" t="s">
        <v>278</v>
      </c>
      <c r="O68" s="1" t="s">
        <v>306</v>
      </c>
      <c r="P68" s="8" t="s">
        <v>278</v>
      </c>
    </row>
    <row r="69" spans="1:16" ht="15.35" x14ac:dyDescent="0.5">
      <c r="A69" s="6" t="s">
        <v>243</v>
      </c>
      <c r="B69" s="1" t="s">
        <v>244</v>
      </c>
      <c r="C69" s="1" t="s">
        <v>245</v>
      </c>
      <c r="D69" s="1" t="s">
        <v>246</v>
      </c>
      <c r="E69" s="1" t="s">
        <v>247</v>
      </c>
      <c r="F69" s="1" t="s">
        <v>262</v>
      </c>
      <c r="G69" s="1" t="s">
        <v>24</v>
      </c>
      <c r="H69" s="1" t="s">
        <v>246</v>
      </c>
      <c r="I69" s="1" t="s">
        <v>298</v>
      </c>
      <c r="J69" s="1" t="s">
        <v>147</v>
      </c>
      <c r="K69" s="2">
        <v>12.42</v>
      </c>
      <c r="L69" s="2">
        <v>100</v>
      </c>
      <c r="M69" s="1" t="s">
        <v>277</v>
      </c>
      <c r="N69" s="1" t="s">
        <v>278</v>
      </c>
      <c r="O69" s="1" t="s">
        <v>306</v>
      </c>
      <c r="P69" s="8" t="s">
        <v>278</v>
      </c>
    </row>
    <row r="70" spans="1:16" ht="15.35" x14ac:dyDescent="0.5">
      <c r="A70" s="6" t="s">
        <v>243</v>
      </c>
      <c r="B70" s="1" t="s">
        <v>244</v>
      </c>
      <c r="C70" s="1" t="s">
        <v>245</v>
      </c>
      <c r="D70" s="1" t="s">
        <v>246</v>
      </c>
      <c r="E70" s="1" t="s">
        <v>247</v>
      </c>
      <c r="F70" s="1" t="s">
        <v>262</v>
      </c>
      <c r="G70" s="1" t="s">
        <v>24</v>
      </c>
      <c r="H70" s="1" t="s">
        <v>246</v>
      </c>
      <c r="I70" s="1" t="s">
        <v>298</v>
      </c>
      <c r="J70" s="1" t="s">
        <v>148</v>
      </c>
      <c r="K70" s="2">
        <v>12.42</v>
      </c>
      <c r="L70" s="2">
        <v>100</v>
      </c>
      <c r="M70" s="1" t="s">
        <v>277</v>
      </c>
      <c r="N70" s="1" t="s">
        <v>278</v>
      </c>
      <c r="O70" s="1" t="s">
        <v>306</v>
      </c>
      <c r="P70" s="8" t="s">
        <v>278</v>
      </c>
    </row>
    <row r="71" spans="1:16" ht="15.35" x14ac:dyDescent="0.5">
      <c r="A71" s="6" t="s">
        <v>243</v>
      </c>
      <c r="B71" s="1" t="s">
        <v>244</v>
      </c>
      <c r="C71" s="1" t="s">
        <v>245</v>
      </c>
      <c r="D71" s="1" t="s">
        <v>246</v>
      </c>
      <c r="E71" s="1" t="s">
        <v>247</v>
      </c>
      <c r="F71" s="1" t="s">
        <v>262</v>
      </c>
      <c r="G71" s="1" t="s">
        <v>24</v>
      </c>
      <c r="H71" s="1" t="s">
        <v>246</v>
      </c>
      <c r="I71" s="1" t="s">
        <v>298</v>
      </c>
      <c r="J71" s="1" t="s">
        <v>149</v>
      </c>
      <c r="K71" s="2">
        <v>12.42</v>
      </c>
      <c r="L71" s="2">
        <v>100</v>
      </c>
      <c r="M71" s="1" t="s">
        <v>277</v>
      </c>
      <c r="N71" s="1" t="s">
        <v>278</v>
      </c>
      <c r="O71" s="1" t="s">
        <v>306</v>
      </c>
      <c r="P71" s="8" t="s">
        <v>278</v>
      </c>
    </row>
    <row r="72" spans="1:16" ht="15.35" x14ac:dyDescent="0.5">
      <c r="A72" s="6" t="s">
        <v>243</v>
      </c>
      <c r="B72" s="1" t="s">
        <v>244</v>
      </c>
      <c r="C72" s="1" t="s">
        <v>245</v>
      </c>
      <c r="D72" s="1" t="s">
        <v>246</v>
      </c>
      <c r="E72" s="1" t="s">
        <v>247</v>
      </c>
      <c r="F72" s="1" t="s">
        <v>262</v>
      </c>
      <c r="G72" s="1" t="s">
        <v>24</v>
      </c>
      <c r="H72" s="1" t="s">
        <v>246</v>
      </c>
      <c r="I72" s="1" t="s">
        <v>298</v>
      </c>
      <c r="J72" s="1" t="s">
        <v>150</v>
      </c>
      <c r="K72" s="2">
        <v>12.42</v>
      </c>
      <c r="L72" s="2">
        <v>100</v>
      </c>
      <c r="M72" s="1" t="s">
        <v>277</v>
      </c>
      <c r="N72" s="1" t="s">
        <v>278</v>
      </c>
      <c r="O72" s="1" t="s">
        <v>306</v>
      </c>
      <c r="P72" s="8" t="s">
        <v>278</v>
      </c>
    </row>
    <row r="73" spans="1:16" ht="15.35" x14ac:dyDescent="0.5">
      <c r="A73" s="6" t="s">
        <v>243</v>
      </c>
      <c r="B73" s="1" t="s">
        <v>244</v>
      </c>
      <c r="C73" s="1" t="s">
        <v>245</v>
      </c>
      <c r="D73" s="1" t="s">
        <v>246</v>
      </c>
      <c r="E73" s="1" t="s">
        <v>247</v>
      </c>
      <c r="F73" s="1" t="s">
        <v>262</v>
      </c>
      <c r="G73" s="1" t="s">
        <v>24</v>
      </c>
      <c r="H73" s="1" t="s">
        <v>246</v>
      </c>
      <c r="I73" s="1" t="s">
        <v>298</v>
      </c>
      <c r="J73" s="1" t="s">
        <v>151</v>
      </c>
      <c r="K73" s="2">
        <v>12.42</v>
      </c>
      <c r="L73" s="2">
        <v>100</v>
      </c>
      <c r="M73" s="1" t="s">
        <v>277</v>
      </c>
      <c r="N73" s="1" t="s">
        <v>278</v>
      </c>
      <c r="O73" s="1" t="s">
        <v>306</v>
      </c>
      <c r="P73" s="8" t="s">
        <v>278</v>
      </c>
    </row>
    <row r="74" spans="1:16" ht="15.35" x14ac:dyDescent="0.5">
      <c r="A74" s="6" t="s">
        <v>243</v>
      </c>
      <c r="B74" s="1" t="s">
        <v>244</v>
      </c>
      <c r="C74" s="1" t="s">
        <v>245</v>
      </c>
      <c r="D74" s="1" t="s">
        <v>246</v>
      </c>
      <c r="E74" s="1" t="s">
        <v>247</v>
      </c>
      <c r="F74" s="1" t="s">
        <v>262</v>
      </c>
      <c r="G74" s="1" t="s">
        <v>24</v>
      </c>
      <c r="H74" s="1" t="s">
        <v>246</v>
      </c>
      <c r="I74" s="1" t="s">
        <v>298</v>
      </c>
      <c r="J74" s="1" t="s">
        <v>152</v>
      </c>
      <c r="K74" s="2">
        <v>11.58</v>
      </c>
      <c r="L74" s="2">
        <v>100</v>
      </c>
      <c r="M74" s="1" t="s">
        <v>277</v>
      </c>
      <c r="N74" s="1" t="s">
        <v>278</v>
      </c>
      <c r="O74" s="1" t="s">
        <v>306</v>
      </c>
      <c r="P74" s="8" t="s">
        <v>278</v>
      </c>
    </row>
    <row r="75" spans="1:16" ht="15.35" x14ac:dyDescent="0.5">
      <c r="A75" s="6" t="s">
        <v>243</v>
      </c>
      <c r="B75" s="1" t="s">
        <v>244</v>
      </c>
      <c r="C75" s="1" t="s">
        <v>245</v>
      </c>
      <c r="D75" s="1" t="s">
        <v>246</v>
      </c>
      <c r="E75" s="1" t="s">
        <v>247</v>
      </c>
      <c r="F75" s="1" t="s">
        <v>262</v>
      </c>
      <c r="G75" s="1" t="s">
        <v>24</v>
      </c>
      <c r="H75" s="1" t="s">
        <v>246</v>
      </c>
      <c r="I75" s="1" t="s">
        <v>258</v>
      </c>
      <c r="J75" s="1" t="s">
        <v>154</v>
      </c>
      <c r="K75" s="2">
        <v>8.5299999999999994</v>
      </c>
      <c r="L75" s="2">
        <v>100</v>
      </c>
      <c r="M75" s="1" t="s">
        <v>259</v>
      </c>
      <c r="N75" s="1" t="s">
        <v>56</v>
      </c>
      <c r="O75" s="1" t="s">
        <v>260</v>
      </c>
      <c r="P75" s="8" t="s">
        <v>261</v>
      </c>
    </row>
    <row r="76" spans="1:16" ht="15.35" x14ac:dyDescent="0.5">
      <c r="A76" s="6" t="s">
        <v>243</v>
      </c>
      <c r="B76" s="1" t="s">
        <v>244</v>
      </c>
      <c r="C76" s="1" t="s">
        <v>245</v>
      </c>
      <c r="D76" s="1" t="s">
        <v>246</v>
      </c>
      <c r="E76" s="1" t="s">
        <v>247</v>
      </c>
      <c r="F76" s="1" t="s">
        <v>262</v>
      </c>
      <c r="G76" s="1" t="s">
        <v>24</v>
      </c>
      <c r="H76" s="1" t="s">
        <v>246</v>
      </c>
      <c r="I76" s="1" t="s">
        <v>258</v>
      </c>
      <c r="J76" s="1" t="s">
        <v>178</v>
      </c>
      <c r="K76" s="2">
        <v>98.72</v>
      </c>
      <c r="L76" s="2">
        <v>100</v>
      </c>
      <c r="M76" s="1" t="s">
        <v>307</v>
      </c>
      <c r="N76" s="1" t="s">
        <v>177</v>
      </c>
      <c r="O76" s="1" t="s">
        <v>308</v>
      </c>
      <c r="P76" s="8" t="s">
        <v>309</v>
      </c>
    </row>
    <row r="77" spans="1:16" ht="15.35" x14ac:dyDescent="0.5">
      <c r="A77" s="6" t="s">
        <v>243</v>
      </c>
      <c r="B77" s="1" t="s">
        <v>244</v>
      </c>
      <c r="C77" s="1" t="s">
        <v>245</v>
      </c>
      <c r="D77" s="1" t="s">
        <v>246</v>
      </c>
      <c r="E77" s="1" t="s">
        <v>247</v>
      </c>
      <c r="F77" s="1" t="s">
        <v>262</v>
      </c>
      <c r="G77" s="1" t="s">
        <v>24</v>
      </c>
      <c r="H77" s="1" t="s">
        <v>246</v>
      </c>
      <c r="I77" s="1" t="s">
        <v>258</v>
      </c>
      <c r="J77" s="1" t="s">
        <v>162</v>
      </c>
      <c r="K77" s="2">
        <v>98.2</v>
      </c>
      <c r="L77" s="2">
        <v>100</v>
      </c>
      <c r="M77" s="1" t="s">
        <v>310</v>
      </c>
      <c r="N77" s="1" t="s">
        <v>311</v>
      </c>
      <c r="O77" s="1" t="s">
        <v>308</v>
      </c>
      <c r="P77" s="8" t="s">
        <v>309</v>
      </c>
    </row>
    <row r="78" spans="1:16" ht="15.35" x14ac:dyDescent="0.5">
      <c r="A78" s="6" t="s">
        <v>243</v>
      </c>
      <c r="B78" s="1" t="s">
        <v>244</v>
      </c>
      <c r="C78" s="1" t="s">
        <v>245</v>
      </c>
      <c r="D78" s="1" t="s">
        <v>246</v>
      </c>
      <c r="E78" s="1" t="s">
        <v>247</v>
      </c>
      <c r="F78" s="1" t="s">
        <v>262</v>
      </c>
      <c r="G78" s="1" t="s">
        <v>24</v>
      </c>
      <c r="H78" s="1" t="s">
        <v>246</v>
      </c>
      <c r="I78" s="1" t="s">
        <v>258</v>
      </c>
      <c r="J78" s="1" t="s">
        <v>164</v>
      </c>
      <c r="K78" s="2">
        <v>98.2</v>
      </c>
      <c r="L78" s="2">
        <v>100</v>
      </c>
      <c r="M78" s="1" t="s">
        <v>310</v>
      </c>
      <c r="N78" s="1" t="s">
        <v>311</v>
      </c>
      <c r="O78" s="1" t="s">
        <v>308</v>
      </c>
      <c r="P78" s="8" t="s">
        <v>309</v>
      </c>
    </row>
    <row r="79" spans="1:16" ht="15.35" x14ac:dyDescent="0.5">
      <c r="A79" s="6" t="s">
        <v>243</v>
      </c>
      <c r="B79" s="1" t="s">
        <v>244</v>
      </c>
      <c r="C79" s="1" t="s">
        <v>245</v>
      </c>
      <c r="D79" s="1" t="s">
        <v>246</v>
      </c>
      <c r="E79" s="1" t="s">
        <v>247</v>
      </c>
      <c r="F79" s="1" t="s">
        <v>262</v>
      </c>
      <c r="G79" s="1" t="s">
        <v>24</v>
      </c>
      <c r="H79" s="1" t="s">
        <v>246</v>
      </c>
      <c r="I79" s="1" t="s">
        <v>258</v>
      </c>
      <c r="J79" s="1" t="s">
        <v>166</v>
      </c>
      <c r="K79" s="2">
        <v>74.06</v>
      </c>
      <c r="L79" s="2">
        <v>100</v>
      </c>
      <c r="M79" s="1" t="s">
        <v>310</v>
      </c>
      <c r="N79" s="1" t="s">
        <v>311</v>
      </c>
      <c r="O79" s="1" t="s">
        <v>308</v>
      </c>
      <c r="P79" s="8" t="s">
        <v>309</v>
      </c>
    </row>
    <row r="80" spans="1:16" ht="15.35" x14ac:dyDescent="0.5">
      <c r="A80" s="6" t="s">
        <v>243</v>
      </c>
      <c r="B80" s="1" t="s">
        <v>244</v>
      </c>
      <c r="C80" s="1" t="s">
        <v>245</v>
      </c>
      <c r="D80" s="1" t="s">
        <v>246</v>
      </c>
      <c r="E80" s="1" t="s">
        <v>247</v>
      </c>
      <c r="F80" s="1" t="s">
        <v>262</v>
      </c>
      <c r="G80" s="1" t="s">
        <v>24</v>
      </c>
      <c r="H80" s="1" t="s">
        <v>246</v>
      </c>
      <c r="I80" s="1" t="s">
        <v>258</v>
      </c>
      <c r="J80" s="1" t="s">
        <v>170</v>
      </c>
      <c r="K80" s="2">
        <v>98.2</v>
      </c>
      <c r="L80" s="2">
        <v>100</v>
      </c>
      <c r="M80" s="1" t="s">
        <v>310</v>
      </c>
      <c r="N80" s="1" t="s">
        <v>311</v>
      </c>
      <c r="O80" s="1" t="s">
        <v>308</v>
      </c>
      <c r="P80" s="8" t="s">
        <v>309</v>
      </c>
    </row>
    <row r="81" spans="1:16" ht="15.35" x14ac:dyDescent="0.5">
      <c r="A81" s="6" t="s">
        <v>243</v>
      </c>
      <c r="B81" s="1" t="s">
        <v>244</v>
      </c>
      <c r="C81" s="1" t="s">
        <v>245</v>
      </c>
      <c r="D81" s="1" t="s">
        <v>246</v>
      </c>
      <c r="E81" s="1" t="s">
        <v>247</v>
      </c>
      <c r="F81" s="1" t="s">
        <v>262</v>
      </c>
      <c r="G81" s="1" t="s">
        <v>24</v>
      </c>
      <c r="H81" s="1" t="s">
        <v>246</v>
      </c>
      <c r="I81" s="1" t="s">
        <v>258</v>
      </c>
      <c r="J81" s="1" t="s">
        <v>171</v>
      </c>
      <c r="K81" s="2">
        <v>98.2</v>
      </c>
      <c r="L81" s="2">
        <v>100</v>
      </c>
      <c r="M81" s="1" t="s">
        <v>310</v>
      </c>
      <c r="N81" s="1" t="s">
        <v>311</v>
      </c>
      <c r="O81" s="1" t="s">
        <v>308</v>
      </c>
      <c r="P81" s="8" t="s">
        <v>309</v>
      </c>
    </row>
    <row r="82" spans="1:16" ht="15.35" x14ac:dyDescent="0.5">
      <c r="A82" s="6" t="s">
        <v>243</v>
      </c>
      <c r="B82" s="1" t="s">
        <v>244</v>
      </c>
      <c r="C82" s="1" t="s">
        <v>245</v>
      </c>
      <c r="D82" s="1" t="s">
        <v>246</v>
      </c>
      <c r="E82" s="1" t="s">
        <v>247</v>
      </c>
      <c r="F82" s="1" t="s">
        <v>262</v>
      </c>
      <c r="G82" s="1" t="s">
        <v>24</v>
      </c>
      <c r="H82" s="1" t="s">
        <v>246</v>
      </c>
      <c r="I82" s="1" t="s">
        <v>258</v>
      </c>
      <c r="J82" s="1" t="s">
        <v>172</v>
      </c>
      <c r="K82" s="2">
        <v>99.05</v>
      </c>
      <c r="L82" s="2">
        <v>100</v>
      </c>
      <c r="M82" s="1" t="s">
        <v>310</v>
      </c>
      <c r="N82" s="1" t="s">
        <v>311</v>
      </c>
      <c r="O82" s="1" t="s">
        <v>308</v>
      </c>
      <c r="P82" s="8" t="s">
        <v>309</v>
      </c>
    </row>
    <row r="83" spans="1:16" ht="30.35" x14ac:dyDescent="0.5">
      <c r="A83" s="6" t="s">
        <v>243</v>
      </c>
      <c r="B83" s="1" t="s">
        <v>244</v>
      </c>
      <c r="C83" s="1" t="s">
        <v>245</v>
      </c>
      <c r="D83" s="1" t="s">
        <v>246</v>
      </c>
      <c r="E83" s="1" t="s">
        <v>247</v>
      </c>
      <c r="F83" s="1" t="s">
        <v>262</v>
      </c>
      <c r="G83" s="1" t="s">
        <v>24</v>
      </c>
      <c r="H83" s="1" t="s">
        <v>246</v>
      </c>
      <c r="I83" s="1" t="s">
        <v>258</v>
      </c>
      <c r="J83" s="1" t="s">
        <v>157</v>
      </c>
      <c r="K83" s="2">
        <v>6.76</v>
      </c>
      <c r="L83" s="2">
        <v>100</v>
      </c>
      <c r="M83" s="1" t="s">
        <v>285</v>
      </c>
      <c r="N83" s="1" t="s">
        <v>286</v>
      </c>
      <c r="O83" s="1" t="s">
        <v>287</v>
      </c>
      <c r="P83" s="8" t="s">
        <v>288</v>
      </c>
    </row>
    <row r="84" spans="1:16" ht="15.35" x14ac:dyDescent="0.5">
      <c r="A84" s="6" t="s">
        <v>243</v>
      </c>
      <c r="B84" s="1" t="s">
        <v>244</v>
      </c>
      <c r="C84" s="1" t="s">
        <v>245</v>
      </c>
      <c r="D84" s="1" t="s">
        <v>246</v>
      </c>
      <c r="E84" s="1" t="s">
        <v>247</v>
      </c>
      <c r="F84" s="1" t="s">
        <v>262</v>
      </c>
      <c r="G84" s="1" t="s">
        <v>24</v>
      </c>
      <c r="H84" s="1" t="s">
        <v>246</v>
      </c>
      <c r="I84" s="1" t="s">
        <v>258</v>
      </c>
      <c r="J84" s="1" t="s">
        <v>173</v>
      </c>
      <c r="K84" s="2">
        <v>99.05</v>
      </c>
      <c r="L84" s="2">
        <v>100</v>
      </c>
      <c r="M84" s="1" t="s">
        <v>310</v>
      </c>
      <c r="N84" s="1" t="s">
        <v>311</v>
      </c>
      <c r="O84" s="1" t="s">
        <v>308</v>
      </c>
      <c r="P84" s="8" t="s">
        <v>309</v>
      </c>
    </row>
    <row r="85" spans="1:16" ht="15.35" x14ac:dyDescent="0.5">
      <c r="A85" s="6" t="s">
        <v>243</v>
      </c>
      <c r="B85" s="1" t="s">
        <v>244</v>
      </c>
      <c r="C85" s="1" t="s">
        <v>245</v>
      </c>
      <c r="D85" s="1" t="s">
        <v>246</v>
      </c>
      <c r="E85" s="1" t="s">
        <v>247</v>
      </c>
      <c r="F85" s="1" t="s">
        <v>262</v>
      </c>
      <c r="G85" s="1" t="s">
        <v>24</v>
      </c>
      <c r="H85" s="1" t="s">
        <v>246</v>
      </c>
      <c r="I85" s="1" t="s">
        <v>258</v>
      </c>
      <c r="J85" s="1" t="s">
        <v>179</v>
      </c>
      <c r="K85" s="2">
        <v>99.05</v>
      </c>
      <c r="L85" s="2">
        <v>100</v>
      </c>
      <c r="M85" s="1" t="s">
        <v>307</v>
      </c>
      <c r="N85" s="1" t="s">
        <v>177</v>
      </c>
      <c r="O85" s="1" t="s">
        <v>308</v>
      </c>
      <c r="P85" s="8" t="s">
        <v>309</v>
      </c>
    </row>
    <row r="86" spans="1:16" ht="15.35" x14ac:dyDescent="0.5">
      <c r="A86" s="6" t="s">
        <v>243</v>
      </c>
      <c r="B86" s="1" t="s">
        <v>244</v>
      </c>
      <c r="C86" s="1" t="s">
        <v>245</v>
      </c>
      <c r="D86" s="1" t="s">
        <v>246</v>
      </c>
      <c r="E86" s="1" t="s">
        <v>247</v>
      </c>
      <c r="F86" s="1" t="s">
        <v>262</v>
      </c>
      <c r="G86" s="1" t="s">
        <v>24</v>
      </c>
      <c r="H86" s="1" t="s">
        <v>246</v>
      </c>
      <c r="I86" s="1" t="s">
        <v>258</v>
      </c>
      <c r="J86" s="1" t="s">
        <v>161</v>
      </c>
      <c r="K86" s="2">
        <v>146.47999999999999</v>
      </c>
      <c r="L86" s="2">
        <v>100</v>
      </c>
      <c r="M86" s="1" t="s">
        <v>269</v>
      </c>
      <c r="N86" s="1" t="s">
        <v>270</v>
      </c>
      <c r="O86" s="1" t="s">
        <v>271</v>
      </c>
      <c r="P86" s="8" t="s">
        <v>272</v>
      </c>
    </row>
    <row r="87" spans="1:16" ht="15.35" x14ac:dyDescent="0.5">
      <c r="A87" s="6" t="s">
        <v>243</v>
      </c>
      <c r="B87" s="1" t="s">
        <v>244</v>
      </c>
      <c r="C87" s="1" t="s">
        <v>245</v>
      </c>
      <c r="D87" s="1" t="s">
        <v>246</v>
      </c>
      <c r="E87" s="1" t="s">
        <v>247</v>
      </c>
      <c r="F87" s="1" t="s">
        <v>262</v>
      </c>
      <c r="G87" s="1" t="s">
        <v>24</v>
      </c>
      <c r="H87" s="1" t="s">
        <v>246</v>
      </c>
      <c r="I87" s="1" t="s">
        <v>258</v>
      </c>
      <c r="J87" s="1" t="s">
        <v>175</v>
      </c>
      <c r="K87" s="2">
        <v>97.9</v>
      </c>
      <c r="L87" s="2">
        <v>100</v>
      </c>
      <c r="M87" s="1" t="s">
        <v>310</v>
      </c>
      <c r="N87" s="1" t="s">
        <v>311</v>
      </c>
      <c r="O87" s="1" t="s">
        <v>308</v>
      </c>
      <c r="P87" s="8" t="s">
        <v>309</v>
      </c>
    </row>
    <row r="88" spans="1:16" ht="15.35" x14ac:dyDescent="0.5">
      <c r="A88" s="6" t="s">
        <v>243</v>
      </c>
      <c r="B88" s="1" t="s">
        <v>244</v>
      </c>
      <c r="C88" s="1" t="s">
        <v>245</v>
      </c>
      <c r="D88" s="1" t="s">
        <v>246</v>
      </c>
      <c r="E88" s="1" t="s">
        <v>247</v>
      </c>
      <c r="F88" s="1" t="s">
        <v>262</v>
      </c>
      <c r="G88" s="1" t="s">
        <v>24</v>
      </c>
      <c r="H88" s="1" t="s">
        <v>246</v>
      </c>
      <c r="I88" s="1" t="s">
        <v>312</v>
      </c>
      <c r="J88" s="1" t="s">
        <v>195</v>
      </c>
      <c r="K88" s="2">
        <v>99.79</v>
      </c>
      <c r="L88" s="2">
        <v>100</v>
      </c>
      <c r="M88" s="1" t="s">
        <v>307</v>
      </c>
      <c r="N88" s="1" t="s">
        <v>177</v>
      </c>
      <c r="O88" s="1" t="s">
        <v>313</v>
      </c>
      <c r="P88" s="8" t="s">
        <v>314</v>
      </c>
    </row>
    <row r="89" spans="1:16" ht="15.35" x14ac:dyDescent="0.5">
      <c r="A89" s="6" t="s">
        <v>243</v>
      </c>
      <c r="B89" s="1" t="s">
        <v>244</v>
      </c>
      <c r="C89" s="1" t="s">
        <v>245</v>
      </c>
      <c r="D89" s="1" t="s">
        <v>246</v>
      </c>
      <c r="E89" s="1" t="s">
        <v>247</v>
      </c>
      <c r="F89" s="1" t="s">
        <v>262</v>
      </c>
      <c r="G89" s="1" t="s">
        <v>24</v>
      </c>
      <c r="H89" s="1" t="s">
        <v>246</v>
      </c>
      <c r="I89" s="1" t="s">
        <v>312</v>
      </c>
      <c r="J89" s="1" t="s">
        <v>190</v>
      </c>
      <c r="K89" s="2">
        <v>22.19</v>
      </c>
      <c r="L89" s="2">
        <v>100</v>
      </c>
      <c r="M89" s="1" t="s">
        <v>310</v>
      </c>
      <c r="N89" s="1" t="s">
        <v>311</v>
      </c>
      <c r="O89" s="1" t="s">
        <v>308</v>
      </c>
      <c r="P89" s="8" t="s">
        <v>309</v>
      </c>
    </row>
    <row r="90" spans="1:16" ht="15.35" x14ac:dyDescent="0.5">
      <c r="A90" s="6" t="s">
        <v>243</v>
      </c>
      <c r="B90" s="1" t="s">
        <v>244</v>
      </c>
      <c r="C90" s="1" t="s">
        <v>245</v>
      </c>
      <c r="D90" s="1" t="s">
        <v>246</v>
      </c>
      <c r="E90" s="1" t="s">
        <v>247</v>
      </c>
      <c r="F90" s="1" t="s">
        <v>262</v>
      </c>
      <c r="G90" s="1" t="s">
        <v>24</v>
      </c>
      <c r="H90" s="1" t="s">
        <v>246</v>
      </c>
      <c r="I90" s="1" t="s">
        <v>312</v>
      </c>
      <c r="J90" s="1" t="s">
        <v>193</v>
      </c>
      <c r="K90" s="2">
        <v>97.9</v>
      </c>
      <c r="L90" s="2">
        <v>100</v>
      </c>
      <c r="M90" s="1" t="s">
        <v>310</v>
      </c>
      <c r="N90" s="1" t="s">
        <v>311</v>
      </c>
      <c r="O90" s="1" t="s">
        <v>308</v>
      </c>
      <c r="P90" s="8" t="s">
        <v>309</v>
      </c>
    </row>
    <row r="91" spans="1:16" ht="15.35" x14ac:dyDescent="0.5">
      <c r="A91" s="6" t="s">
        <v>243</v>
      </c>
      <c r="B91" s="1" t="s">
        <v>244</v>
      </c>
      <c r="C91" s="1" t="s">
        <v>245</v>
      </c>
      <c r="D91" s="1" t="s">
        <v>246</v>
      </c>
      <c r="E91" s="1" t="s">
        <v>247</v>
      </c>
      <c r="F91" s="1" t="s">
        <v>262</v>
      </c>
      <c r="G91" s="1" t="s">
        <v>24</v>
      </c>
      <c r="H91" s="1" t="s">
        <v>246</v>
      </c>
      <c r="I91" s="1" t="s">
        <v>312</v>
      </c>
      <c r="J91" s="1" t="s">
        <v>196</v>
      </c>
      <c r="K91" s="2">
        <v>74.05</v>
      </c>
      <c r="L91" s="2">
        <v>100</v>
      </c>
      <c r="M91" s="1" t="s">
        <v>310</v>
      </c>
      <c r="N91" s="1" t="s">
        <v>311</v>
      </c>
      <c r="O91" s="1" t="s">
        <v>308</v>
      </c>
      <c r="P91" s="8" t="s">
        <v>309</v>
      </c>
    </row>
    <row r="92" spans="1:16" ht="15.35" x14ac:dyDescent="0.5">
      <c r="A92" s="6" t="s">
        <v>243</v>
      </c>
      <c r="B92" s="1" t="s">
        <v>244</v>
      </c>
      <c r="C92" s="1" t="s">
        <v>245</v>
      </c>
      <c r="D92" s="1" t="s">
        <v>246</v>
      </c>
      <c r="E92" s="1" t="s">
        <v>247</v>
      </c>
      <c r="F92" s="1" t="s">
        <v>262</v>
      </c>
      <c r="G92" s="1" t="s">
        <v>24</v>
      </c>
      <c r="H92" s="1" t="s">
        <v>246</v>
      </c>
      <c r="I92" s="1" t="s">
        <v>312</v>
      </c>
      <c r="J92" s="1" t="s">
        <v>200</v>
      </c>
      <c r="K92" s="2">
        <v>20.86</v>
      </c>
      <c r="L92" s="2">
        <v>100</v>
      </c>
      <c r="M92" s="1" t="s">
        <v>310</v>
      </c>
      <c r="N92" s="1" t="s">
        <v>311</v>
      </c>
      <c r="O92" s="1" t="s">
        <v>308</v>
      </c>
      <c r="P92" s="8" t="s">
        <v>309</v>
      </c>
    </row>
    <row r="93" spans="1:16" ht="15.35" x14ac:dyDescent="0.5">
      <c r="A93" s="6" t="s">
        <v>243</v>
      </c>
      <c r="B93" s="1" t="s">
        <v>244</v>
      </c>
      <c r="C93" s="1" t="s">
        <v>245</v>
      </c>
      <c r="D93" s="1" t="s">
        <v>246</v>
      </c>
      <c r="E93" s="1" t="s">
        <v>247</v>
      </c>
      <c r="F93" s="1" t="s">
        <v>262</v>
      </c>
      <c r="G93" s="1" t="s">
        <v>24</v>
      </c>
      <c r="H93" s="1" t="s">
        <v>246</v>
      </c>
      <c r="I93" s="1" t="s">
        <v>312</v>
      </c>
      <c r="J93" s="1" t="s">
        <v>202</v>
      </c>
      <c r="K93" s="2">
        <v>20.75</v>
      </c>
      <c r="L93" s="2">
        <v>100</v>
      </c>
      <c r="M93" s="1" t="s">
        <v>310</v>
      </c>
      <c r="N93" s="1" t="s">
        <v>311</v>
      </c>
      <c r="O93" s="1" t="s">
        <v>308</v>
      </c>
      <c r="P93" s="8" t="s">
        <v>309</v>
      </c>
    </row>
    <row r="94" spans="1:16" ht="15.35" x14ac:dyDescent="0.5">
      <c r="A94" s="6" t="s">
        <v>243</v>
      </c>
      <c r="B94" s="1" t="s">
        <v>244</v>
      </c>
      <c r="C94" s="1" t="s">
        <v>245</v>
      </c>
      <c r="D94" s="1" t="s">
        <v>246</v>
      </c>
      <c r="E94" s="1" t="s">
        <v>247</v>
      </c>
      <c r="F94" s="1" t="s">
        <v>262</v>
      </c>
      <c r="G94" s="1" t="s">
        <v>24</v>
      </c>
      <c r="H94" s="1" t="s">
        <v>246</v>
      </c>
      <c r="I94" s="1" t="s">
        <v>312</v>
      </c>
      <c r="J94" s="1" t="s">
        <v>208</v>
      </c>
      <c r="K94" s="2">
        <v>90.98</v>
      </c>
      <c r="L94" s="2">
        <v>100</v>
      </c>
      <c r="M94" s="1" t="s">
        <v>310</v>
      </c>
      <c r="N94" s="1" t="s">
        <v>311</v>
      </c>
      <c r="O94" s="1" t="s">
        <v>308</v>
      </c>
      <c r="P94" s="8" t="s">
        <v>309</v>
      </c>
    </row>
    <row r="95" spans="1:16" ht="15.35" x14ac:dyDescent="0.5">
      <c r="A95" s="6" t="s">
        <v>243</v>
      </c>
      <c r="B95" s="1" t="s">
        <v>244</v>
      </c>
      <c r="C95" s="1" t="s">
        <v>245</v>
      </c>
      <c r="D95" s="1" t="s">
        <v>246</v>
      </c>
      <c r="E95" s="1" t="s">
        <v>247</v>
      </c>
      <c r="F95" s="1" t="s">
        <v>262</v>
      </c>
      <c r="G95" s="1" t="s">
        <v>24</v>
      </c>
      <c r="H95" s="1" t="s">
        <v>246</v>
      </c>
      <c r="I95" s="1" t="s">
        <v>312</v>
      </c>
      <c r="J95" s="1" t="s">
        <v>211</v>
      </c>
      <c r="K95" s="2">
        <v>73.42</v>
      </c>
      <c r="L95" s="2">
        <v>100</v>
      </c>
      <c r="M95" s="1" t="s">
        <v>310</v>
      </c>
      <c r="N95" s="1" t="s">
        <v>311</v>
      </c>
      <c r="O95" s="1" t="s">
        <v>308</v>
      </c>
      <c r="P95" s="8" t="s">
        <v>309</v>
      </c>
    </row>
    <row r="96" spans="1:16" ht="15.35" x14ac:dyDescent="0.5">
      <c r="A96" s="6" t="s">
        <v>243</v>
      </c>
      <c r="B96" s="1" t="s">
        <v>244</v>
      </c>
      <c r="C96" s="1" t="s">
        <v>245</v>
      </c>
      <c r="D96" s="1" t="s">
        <v>246</v>
      </c>
      <c r="E96" s="1" t="s">
        <v>247</v>
      </c>
      <c r="F96" s="1" t="s">
        <v>262</v>
      </c>
      <c r="G96" s="1" t="s">
        <v>24</v>
      </c>
      <c r="H96" s="1" t="s">
        <v>246</v>
      </c>
      <c r="I96" s="1" t="s">
        <v>312</v>
      </c>
      <c r="J96" s="1" t="s">
        <v>216</v>
      </c>
      <c r="K96" s="2">
        <v>98.94</v>
      </c>
      <c r="L96" s="2">
        <v>100</v>
      </c>
      <c r="M96" s="1" t="s">
        <v>310</v>
      </c>
      <c r="N96" s="1" t="s">
        <v>311</v>
      </c>
      <c r="O96" s="1" t="s">
        <v>308</v>
      </c>
      <c r="P96" s="8" t="s">
        <v>309</v>
      </c>
    </row>
    <row r="97" spans="1:16" ht="15.35" x14ac:dyDescent="0.5">
      <c r="A97" s="6" t="s">
        <v>243</v>
      </c>
      <c r="B97" s="1" t="s">
        <v>244</v>
      </c>
      <c r="C97" s="1" t="s">
        <v>245</v>
      </c>
      <c r="D97" s="1" t="s">
        <v>246</v>
      </c>
      <c r="E97" s="1" t="s">
        <v>247</v>
      </c>
      <c r="F97" s="1" t="s">
        <v>262</v>
      </c>
      <c r="G97" s="1" t="s">
        <v>24</v>
      </c>
      <c r="H97" s="1" t="s">
        <v>246</v>
      </c>
      <c r="I97" s="1" t="s">
        <v>312</v>
      </c>
      <c r="J97" s="1" t="s">
        <v>217</v>
      </c>
      <c r="K97" s="2">
        <v>34.57</v>
      </c>
      <c r="L97" s="2">
        <v>100</v>
      </c>
      <c r="M97" s="1" t="s">
        <v>310</v>
      </c>
      <c r="N97" s="1" t="s">
        <v>311</v>
      </c>
      <c r="O97" s="1" t="s">
        <v>308</v>
      </c>
      <c r="P97" s="8" t="s">
        <v>309</v>
      </c>
    </row>
    <row r="98" spans="1:16" ht="15.35" x14ac:dyDescent="0.5">
      <c r="A98" s="6" t="s">
        <v>243</v>
      </c>
      <c r="B98" s="1" t="s">
        <v>244</v>
      </c>
      <c r="C98" s="1" t="s">
        <v>245</v>
      </c>
      <c r="D98" s="1" t="s">
        <v>246</v>
      </c>
      <c r="E98" s="1" t="s">
        <v>247</v>
      </c>
      <c r="F98" s="1" t="s">
        <v>262</v>
      </c>
      <c r="G98" s="1" t="s">
        <v>24</v>
      </c>
      <c r="H98" s="1" t="s">
        <v>246</v>
      </c>
      <c r="I98" s="1" t="s">
        <v>312</v>
      </c>
      <c r="J98" s="1" t="s">
        <v>218</v>
      </c>
      <c r="K98" s="2">
        <v>88.32</v>
      </c>
      <c r="L98" s="2">
        <v>100</v>
      </c>
      <c r="M98" s="1" t="s">
        <v>310</v>
      </c>
      <c r="N98" s="1" t="s">
        <v>311</v>
      </c>
      <c r="O98" s="1" t="s">
        <v>308</v>
      </c>
      <c r="P98" s="8" t="s">
        <v>309</v>
      </c>
    </row>
    <row r="99" spans="1:16" ht="15.35" x14ac:dyDescent="0.5">
      <c r="A99" s="6" t="s">
        <v>243</v>
      </c>
      <c r="B99" s="1" t="s">
        <v>244</v>
      </c>
      <c r="C99" s="1" t="s">
        <v>245</v>
      </c>
      <c r="D99" s="1" t="s">
        <v>246</v>
      </c>
      <c r="E99" s="1" t="s">
        <v>247</v>
      </c>
      <c r="F99" s="1" t="s">
        <v>262</v>
      </c>
      <c r="G99" s="1" t="s">
        <v>24</v>
      </c>
      <c r="H99" s="1" t="s">
        <v>246</v>
      </c>
      <c r="I99" s="1" t="s">
        <v>312</v>
      </c>
      <c r="J99" s="1" t="s">
        <v>221</v>
      </c>
      <c r="K99" s="2">
        <v>88.32</v>
      </c>
      <c r="L99" s="2">
        <v>100</v>
      </c>
      <c r="M99" s="1" t="s">
        <v>310</v>
      </c>
      <c r="N99" s="1" t="s">
        <v>311</v>
      </c>
      <c r="O99" s="1" t="s">
        <v>308</v>
      </c>
      <c r="P99" s="8" t="s">
        <v>309</v>
      </c>
    </row>
    <row r="100" spans="1:16" ht="15.35" x14ac:dyDescent="0.5">
      <c r="A100" s="6" t="s">
        <v>243</v>
      </c>
      <c r="B100" s="1" t="s">
        <v>244</v>
      </c>
      <c r="C100" s="1" t="s">
        <v>245</v>
      </c>
      <c r="D100" s="1" t="s">
        <v>246</v>
      </c>
      <c r="E100" s="1" t="s">
        <v>247</v>
      </c>
      <c r="F100" s="1" t="s">
        <v>262</v>
      </c>
      <c r="G100" s="1" t="s">
        <v>24</v>
      </c>
      <c r="H100" s="1" t="s">
        <v>246</v>
      </c>
      <c r="I100" s="1" t="s">
        <v>312</v>
      </c>
      <c r="J100" s="1" t="s">
        <v>224</v>
      </c>
      <c r="K100" s="2">
        <v>88.64</v>
      </c>
      <c r="L100" s="2">
        <v>100</v>
      </c>
      <c r="M100" s="1" t="s">
        <v>310</v>
      </c>
      <c r="N100" s="1" t="s">
        <v>311</v>
      </c>
      <c r="O100" s="1" t="s">
        <v>308</v>
      </c>
      <c r="P100" s="8" t="s">
        <v>309</v>
      </c>
    </row>
    <row r="101" spans="1:16" ht="15.35" x14ac:dyDescent="0.5">
      <c r="A101" s="6" t="s">
        <v>243</v>
      </c>
      <c r="B101" s="1" t="s">
        <v>244</v>
      </c>
      <c r="C101" s="1" t="s">
        <v>245</v>
      </c>
      <c r="D101" s="1" t="s">
        <v>246</v>
      </c>
      <c r="E101" s="1" t="s">
        <v>247</v>
      </c>
      <c r="F101" s="1" t="s">
        <v>262</v>
      </c>
      <c r="G101" s="1" t="s">
        <v>24</v>
      </c>
      <c r="H101" s="1" t="s">
        <v>246</v>
      </c>
      <c r="I101" s="1" t="s">
        <v>250</v>
      </c>
      <c r="J101" s="1" t="s">
        <v>51</v>
      </c>
      <c r="K101" s="2">
        <v>6.99</v>
      </c>
      <c r="L101" s="2">
        <v>100</v>
      </c>
      <c r="M101" s="1" t="s">
        <v>263</v>
      </c>
      <c r="N101" s="1" t="s">
        <v>264</v>
      </c>
      <c r="O101" s="1" t="s">
        <v>265</v>
      </c>
      <c r="P101" s="8" t="s">
        <v>266</v>
      </c>
    </row>
    <row r="102" spans="1:16" ht="15.35" x14ac:dyDescent="0.5">
      <c r="A102" s="6" t="s">
        <v>243</v>
      </c>
      <c r="B102" s="1" t="s">
        <v>244</v>
      </c>
      <c r="C102" s="1" t="s">
        <v>245</v>
      </c>
      <c r="D102" s="1" t="s">
        <v>246</v>
      </c>
      <c r="E102" s="1" t="s">
        <v>247</v>
      </c>
      <c r="F102" s="1" t="s">
        <v>262</v>
      </c>
      <c r="G102" s="1" t="s">
        <v>24</v>
      </c>
      <c r="H102" s="1" t="s">
        <v>246</v>
      </c>
      <c r="I102" s="1" t="s">
        <v>250</v>
      </c>
      <c r="J102" s="1" t="s">
        <v>53</v>
      </c>
      <c r="K102" s="2">
        <v>8.33</v>
      </c>
      <c r="L102" s="2">
        <v>100</v>
      </c>
      <c r="M102" s="1" t="s">
        <v>263</v>
      </c>
      <c r="N102" s="1" t="s">
        <v>264</v>
      </c>
      <c r="O102" s="1" t="s">
        <v>255</v>
      </c>
      <c r="P102" s="8" t="s">
        <v>256</v>
      </c>
    </row>
    <row r="103" spans="1:16" ht="30.35" x14ac:dyDescent="0.5">
      <c r="A103" s="6" t="s">
        <v>243</v>
      </c>
      <c r="B103" s="1" t="s">
        <v>244</v>
      </c>
      <c r="C103" s="1" t="s">
        <v>245</v>
      </c>
      <c r="D103" s="1" t="s">
        <v>246</v>
      </c>
      <c r="E103" s="1" t="s">
        <v>247</v>
      </c>
      <c r="F103" s="1" t="s">
        <v>262</v>
      </c>
      <c r="G103" s="1" t="s">
        <v>24</v>
      </c>
      <c r="H103" s="1" t="s">
        <v>246</v>
      </c>
      <c r="I103" s="1" t="s">
        <v>250</v>
      </c>
      <c r="J103" s="1" t="s">
        <v>8</v>
      </c>
      <c r="K103" s="2">
        <v>10.76</v>
      </c>
      <c r="L103" s="2">
        <v>100</v>
      </c>
      <c r="M103" s="1" t="s">
        <v>285</v>
      </c>
      <c r="N103" s="1" t="s">
        <v>286</v>
      </c>
      <c r="O103" s="1" t="s">
        <v>287</v>
      </c>
      <c r="P103" s="8" t="s">
        <v>288</v>
      </c>
    </row>
    <row r="104" spans="1:16" ht="30.35" x14ac:dyDescent="0.5">
      <c r="A104" s="7" t="s">
        <v>243</v>
      </c>
      <c r="B104" s="3" t="s">
        <v>244</v>
      </c>
      <c r="C104" s="3" t="s">
        <v>245</v>
      </c>
      <c r="D104" s="3" t="s">
        <v>246</v>
      </c>
      <c r="E104" s="3" t="s">
        <v>247</v>
      </c>
      <c r="F104" s="3" t="s">
        <v>262</v>
      </c>
      <c r="G104" s="3" t="s">
        <v>24</v>
      </c>
      <c r="H104" s="3" t="s">
        <v>246</v>
      </c>
      <c r="I104" s="3" t="s">
        <v>250</v>
      </c>
      <c r="J104" s="3" t="s">
        <v>16</v>
      </c>
      <c r="K104" s="4">
        <v>10.55</v>
      </c>
      <c r="L104" s="4">
        <v>100</v>
      </c>
      <c r="M104" s="3" t="s">
        <v>277</v>
      </c>
      <c r="N104" s="5" t="s">
        <v>282</v>
      </c>
      <c r="O104" s="5" t="s">
        <v>283</v>
      </c>
      <c r="P104" s="9" t="s">
        <v>284</v>
      </c>
    </row>
    <row r="105" spans="1:16" ht="30.35" x14ac:dyDescent="0.5">
      <c r="A105" s="6" t="s">
        <v>243</v>
      </c>
      <c r="B105" s="1" t="s">
        <v>244</v>
      </c>
      <c r="C105" s="1" t="s">
        <v>245</v>
      </c>
      <c r="D105" s="1" t="s">
        <v>246</v>
      </c>
      <c r="E105" s="1" t="s">
        <v>247</v>
      </c>
      <c r="F105" s="1" t="s">
        <v>262</v>
      </c>
      <c r="G105" s="1" t="s">
        <v>24</v>
      </c>
      <c r="H105" s="1" t="s">
        <v>246</v>
      </c>
      <c r="I105" s="1" t="s">
        <v>250</v>
      </c>
      <c r="J105" s="1" t="s">
        <v>18</v>
      </c>
      <c r="K105" s="2">
        <v>13.95</v>
      </c>
      <c r="L105" s="2">
        <v>100</v>
      </c>
      <c r="M105" s="1" t="s">
        <v>281</v>
      </c>
      <c r="N105" s="1" t="s">
        <v>282</v>
      </c>
      <c r="O105" s="1" t="s">
        <v>283</v>
      </c>
      <c r="P105" s="8" t="s">
        <v>284</v>
      </c>
    </row>
    <row r="106" spans="1:16" ht="15.35" x14ac:dyDescent="0.5">
      <c r="A106" s="6" t="s">
        <v>243</v>
      </c>
      <c r="B106" s="1" t="s">
        <v>244</v>
      </c>
      <c r="C106" s="1" t="s">
        <v>245</v>
      </c>
      <c r="D106" s="1" t="s">
        <v>246</v>
      </c>
      <c r="E106" s="1" t="s">
        <v>247</v>
      </c>
      <c r="F106" s="1" t="s">
        <v>262</v>
      </c>
      <c r="G106" s="1" t="s">
        <v>24</v>
      </c>
      <c r="H106" s="1" t="s">
        <v>246</v>
      </c>
      <c r="I106" s="1" t="s">
        <v>250</v>
      </c>
      <c r="J106" s="1" t="s">
        <v>315</v>
      </c>
      <c r="K106" s="2">
        <v>0</v>
      </c>
      <c r="L106" s="2">
        <v>100</v>
      </c>
      <c r="M106" s="1" t="s">
        <v>251</v>
      </c>
      <c r="N106" s="1" t="s">
        <v>252</v>
      </c>
      <c r="O106" s="1" t="s">
        <v>316</v>
      </c>
      <c r="P106" s="8" t="s">
        <v>317</v>
      </c>
    </row>
    <row r="107" spans="1:16" ht="15.35" x14ac:dyDescent="0.5">
      <c r="A107" s="6" t="s">
        <v>243</v>
      </c>
      <c r="B107" s="1" t="s">
        <v>244</v>
      </c>
      <c r="C107" s="1" t="s">
        <v>245</v>
      </c>
      <c r="D107" s="1" t="s">
        <v>246</v>
      </c>
      <c r="E107" s="1" t="s">
        <v>247</v>
      </c>
      <c r="F107" s="1" t="s">
        <v>262</v>
      </c>
      <c r="G107" s="1" t="s">
        <v>24</v>
      </c>
      <c r="H107" s="1" t="s">
        <v>246</v>
      </c>
      <c r="I107" s="1" t="s">
        <v>250</v>
      </c>
      <c r="J107" s="1" t="s">
        <v>15</v>
      </c>
      <c r="K107" s="2">
        <v>54.51</v>
      </c>
      <c r="L107" s="2">
        <v>100</v>
      </c>
      <c r="M107" s="1" t="s">
        <v>273</v>
      </c>
      <c r="N107" s="1" t="s">
        <v>274</v>
      </c>
      <c r="O107" s="1" t="s">
        <v>275</v>
      </c>
      <c r="P107" s="8" t="s">
        <v>276</v>
      </c>
    </row>
    <row r="108" spans="1:16" ht="15.35" x14ac:dyDescent="0.5">
      <c r="A108" s="6" t="s">
        <v>243</v>
      </c>
      <c r="B108" s="1" t="s">
        <v>244</v>
      </c>
      <c r="C108" s="1" t="s">
        <v>245</v>
      </c>
      <c r="D108" s="1" t="s">
        <v>246</v>
      </c>
      <c r="E108" s="1" t="s">
        <v>247</v>
      </c>
      <c r="F108" s="1" t="s">
        <v>262</v>
      </c>
      <c r="G108" s="1" t="s">
        <v>24</v>
      </c>
      <c r="H108" s="1" t="s">
        <v>246</v>
      </c>
      <c r="I108" s="1" t="s">
        <v>250</v>
      </c>
      <c r="J108" s="1" t="s">
        <v>17</v>
      </c>
      <c r="K108" s="2">
        <v>33.42</v>
      </c>
      <c r="L108" s="2">
        <v>100</v>
      </c>
      <c r="M108" s="1" t="s">
        <v>273</v>
      </c>
      <c r="N108" s="1" t="s">
        <v>274</v>
      </c>
      <c r="O108" s="1" t="s">
        <v>275</v>
      </c>
      <c r="P108" s="8" t="s">
        <v>276</v>
      </c>
    </row>
    <row r="109" spans="1:16" ht="15.35" x14ac:dyDescent="0.5">
      <c r="A109" s="6" t="s">
        <v>243</v>
      </c>
      <c r="B109" s="1" t="s">
        <v>244</v>
      </c>
      <c r="C109" s="1" t="s">
        <v>245</v>
      </c>
      <c r="D109" s="1" t="s">
        <v>246</v>
      </c>
      <c r="E109" s="1" t="s">
        <v>247</v>
      </c>
      <c r="F109" s="1" t="s">
        <v>262</v>
      </c>
      <c r="G109" s="1" t="s">
        <v>24</v>
      </c>
      <c r="H109" s="1" t="s">
        <v>246</v>
      </c>
      <c r="I109" s="1" t="s">
        <v>250</v>
      </c>
      <c r="J109" s="1" t="s">
        <v>42</v>
      </c>
      <c r="K109" s="2">
        <v>23.08</v>
      </c>
      <c r="L109" s="2">
        <v>100</v>
      </c>
      <c r="M109" s="1" t="s">
        <v>269</v>
      </c>
      <c r="N109" s="1" t="s">
        <v>270</v>
      </c>
      <c r="O109" s="1" t="s">
        <v>271</v>
      </c>
      <c r="P109" s="8" t="s">
        <v>272</v>
      </c>
    </row>
    <row r="110" spans="1:16" ht="15.35" x14ac:dyDescent="0.5">
      <c r="A110" s="6" t="s">
        <v>243</v>
      </c>
      <c r="B110" s="1" t="s">
        <v>244</v>
      </c>
      <c r="C110" s="1" t="s">
        <v>245</v>
      </c>
      <c r="D110" s="1" t="s">
        <v>246</v>
      </c>
      <c r="E110" s="1" t="s">
        <v>247</v>
      </c>
      <c r="F110" s="1" t="s">
        <v>262</v>
      </c>
      <c r="G110" s="1" t="s">
        <v>24</v>
      </c>
      <c r="H110" s="1" t="s">
        <v>246</v>
      </c>
      <c r="I110" s="1" t="s">
        <v>250</v>
      </c>
      <c r="J110" s="1" t="s">
        <v>41</v>
      </c>
      <c r="K110" s="2">
        <v>78.260000000000005</v>
      </c>
      <c r="L110" s="2">
        <v>100</v>
      </c>
      <c r="M110" s="1" t="s">
        <v>273</v>
      </c>
      <c r="N110" s="1" t="s">
        <v>274</v>
      </c>
      <c r="O110" s="1" t="s">
        <v>275</v>
      </c>
      <c r="P110" s="8" t="s">
        <v>276</v>
      </c>
    </row>
    <row r="111" spans="1:16" ht="15.35" x14ac:dyDescent="0.5">
      <c r="A111" s="6" t="s">
        <v>243</v>
      </c>
      <c r="B111" s="1" t="s">
        <v>244</v>
      </c>
      <c r="C111" s="1" t="s">
        <v>245</v>
      </c>
      <c r="D111" s="1" t="s">
        <v>246</v>
      </c>
      <c r="E111" s="1" t="s">
        <v>247</v>
      </c>
      <c r="F111" s="1" t="s">
        <v>262</v>
      </c>
      <c r="G111" s="1" t="s">
        <v>24</v>
      </c>
      <c r="H111" s="1" t="s">
        <v>246</v>
      </c>
      <c r="I111" s="1" t="s">
        <v>250</v>
      </c>
      <c r="J111" s="1" t="s">
        <v>43</v>
      </c>
      <c r="K111" s="2">
        <v>72.569999999999993</v>
      </c>
      <c r="L111" s="2">
        <v>100</v>
      </c>
      <c r="M111" s="1" t="s">
        <v>273</v>
      </c>
      <c r="N111" s="1" t="s">
        <v>274</v>
      </c>
      <c r="O111" s="1" t="s">
        <v>275</v>
      </c>
      <c r="P111" s="8" t="s">
        <v>276</v>
      </c>
    </row>
    <row r="112" spans="1:16" ht="15.35" x14ac:dyDescent="0.5">
      <c r="A112" s="6" t="s">
        <v>243</v>
      </c>
      <c r="B112" s="1" t="s">
        <v>244</v>
      </c>
      <c r="C112" s="1" t="s">
        <v>245</v>
      </c>
      <c r="D112" s="1" t="s">
        <v>246</v>
      </c>
      <c r="E112" s="1" t="s">
        <v>247</v>
      </c>
      <c r="F112" s="1" t="s">
        <v>262</v>
      </c>
      <c r="G112" s="1" t="s">
        <v>24</v>
      </c>
      <c r="H112" s="1" t="s">
        <v>246</v>
      </c>
      <c r="I112" s="1" t="s">
        <v>250</v>
      </c>
      <c r="J112" s="1" t="s">
        <v>45</v>
      </c>
      <c r="K112" s="2">
        <v>69.349999999999994</v>
      </c>
      <c r="L112" s="2">
        <v>100</v>
      </c>
      <c r="M112" s="1" t="s">
        <v>273</v>
      </c>
      <c r="N112" s="1" t="s">
        <v>274</v>
      </c>
      <c r="O112" s="1" t="s">
        <v>275</v>
      </c>
      <c r="P112" s="8" t="s">
        <v>276</v>
      </c>
    </row>
    <row r="113" spans="1:16" ht="15.35" x14ac:dyDescent="0.5">
      <c r="A113" s="6" t="s">
        <v>243</v>
      </c>
      <c r="B113" s="1" t="s">
        <v>244</v>
      </c>
      <c r="C113" s="1" t="s">
        <v>245</v>
      </c>
      <c r="D113" s="1" t="s">
        <v>246</v>
      </c>
      <c r="E113" s="1" t="s">
        <v>247</v>
      </c>
      <c r="F113" s="1" t="s">
        <v>262</v>
      </c>
      <c r="G113" s="1" t="s">
        <v>24</v>
      </c>
      <c r="H113" s="1" t="s">
        <v>246</v>
      </c>
      <c r="I113" s="1" t="s">
        <v>250</v>
      </c>
      <c r="J113" s="1" t="s">
        <v>46</v>
      </c>
      <c r="K113" s="2">
        <v>18.39</v>
      </c>
      <c r="L113" s="2">
        <v>100</v>
      </c>
      <c r="M113" s="1" t="s">
        <v>273</v>
      </c>
      <c r="N113" s="1" t="s">
        <v>274</v>
      </c>
      <c r="O113" s="1" t="s">
        <v>275</v>
      </c>
      <c r="P113" s="8" t="s">
        <v>276</v>
      </c>
    </row>
    <row r="114" spans="1:16" ht="15.35" x14ac:dyDescent="0.5">
      <c r="A114" s="6" t="s">
        <v>243</v>
      </c>
      <c r="B114" s="1" t="s">
        <v>244</v>
      </c>
      <c r="C114" s="1" t="s">
        <v>245</v>
      </c>
      <c r="D114" s="1" t="s">
        <v>246</v>
      </c>
      <c r="E114" s="1" t="s">
        <v>247</v>
      </c>
      <c r="F114" s="1" t="s">
        <v>262</v>
      </c>
      <c r="G114" s="1" t="s">
        <v>24</v>
      </c>
      <c r="H114" s="1" t="s">
        <v>246</v>
      </c>
      <c r="I114" s="1" t="s">
        <v>250</v>
      </c>
      <c r="J114" s="1" t="s">
        <v>47</v>
      </c>
      <c r="K114" s="2">
        <v>150.13999999999999</v>
      </c>
      <c r="L114" s="2">
        <v>100</v>
      </c>
      <c r="M114" s="1" t="s">
        <v>273</v>
      </c>
      <c r="N114" s="1" t="s">
        <v>274</v>
      </c>
      <c r="O114" s="1" t="s">
        <v>275</v>
      </c>
      <c r="P114" s="8" t="s">
        <v>276</v>
      </c>
    </row>
    <row r="115" spans="1:16" ht="15.35" x14ac:dyDescent="0.5">
      <c r="A115" s="6" t="s">
        <v>243</v>
      </c>
      <c r="B115" s="1" t="s">
        <v>244</v>
      </c>
      <c r="C115" s="1" t="s">
        <v>245</v>
      </c>
      <c r="D115" s="1" t="s">
        <v>246</v>
      </c>
      <c r="E115" s="1" t="s">
        <v>247</v>
      </c>
      <c r="F115" s="1" t="s">
        <v>262</v>
      </c>
      <c r="G115" s="1" t="s">
        <v>24</v>
      </c>
      <c r="H115" s="1" t="s">
        <v>246</v>
      </c>
      <c r="I115" s="1" t="s">
        <v>290</v>
      </c>
      <c r="J115" s="1" t="s">
        <v>61</v>
      </c>
      <c r="K115" s="2">
        <v>1.33</v>
      </c>
      <c r="L115" s="2">
        <v>100</v>
      </c>
      <c r="M115" s="1" t="s">
        <v>251</v>
      </c>
      <c r="N115" s="1" t="s">
        <v>252</v>
      </c>
      <c r="O115" s="1" t="s">
        <v>316</v>
      </c>
      <c r="P115" s="8" t="s">
        <v>317</v>
      </c>
    </row>
    <row r="116" spans="1:16" ht="15.35" x14ac:dyDescent="0.5">
      <c r="A116" s="6" t="s">
        <v>243</v>
      </c>
      <c r="B116" s="1" t="s">
        <v>244</v>
      </c>
      <c r="C116" s="1" t="s">
        <v>245</v>
      </c>
      <c r="D116" s="1" t="s">
        <v>246</v>
      </c>
      <c r="E116" s="1" t="s">
        <v>247</v>
      </c>
      <c r="F116" s="1" t="s">
        <v>262</v>
      </c>
      <c r="G116" s="1" t="s">
        <v>24</v>
      </c>
      <c r="H116" s="1" t="s">
        <v>246</v>
      </c>
      <c r="I116" s="1" t="s">
        <v>290</v>
      </c>
      <c r="J116" s="1" t="s">
        <v>89</v>
      </c>
      <c r="K116" s="2">
        <v>24.37</v>
      </c>
      <c r="L116" s="2">
        <v>100</v>
      </c>
      <c r="M116" s="1" t="s">
        <v>293</v>
      </c>
      <c r="N116" s="1" t="s">
        <v>84</v>
      </c>
      <c r="O116" s="1" t="s">
        <v>294</v>
      </c>
      <c r="P116" s="8" t="s">
        <v>295</v>
      </c>
    </row>
    <row r="117" spans="1:16" ht="15.35" x14ac:dyDescent="0.5">
      <c r="A117" s="6" t="s">
        <v>243</v>
      </c>
      <c r="B117" s="1" t="s">
        <v>244</v>
      </c>
      <c r="C117" s="1" t="s">
        <v>245</v>
      </c>
      <c r="D117" s="1" t="s">
        <v>246</v>
      </c>
      <c r="E117" s="1" t="s">
        <v>247</v>
      </c>
      <c r="F117" s="1" t="s">
        <v>262</v>
      </c>
      <c r="G117" s="1" t="s">
        <v>24</v>
      </c>
      <c r="H117" s="1" t="s">
        <v>246</v>
      </c>
      <c r="I117" s="1" t="s">
        <v>290</v>
      </c>
      <c r="J117" s="1" t="s">
        <v>91</v>
      </c>
      <c r="K117" s="2">
        <v>9.4700000000000006</v>
      </c>
      <c r="L117" s="2">
        <v>100</v>
      </c>
      <c r="M117" s="1" t="s">
        <v>293</v>
      </c>
      <c r="N117" s="1" t="s">
        <v>84</v>
      </c>
      <c r="O117" s="1" t="s">
        <v>294</v>
      </c>
      <c r="P117" s="8" t="s">
        <v>295</v>
      </c>
    </row>
    <row r="118" spans="1:16" ht="15.35" x14ac:dyDescent="0.5">
      <c r="A118" s="6" t="s">
        <v>243</v>
      </c>
      <c r="B118" s="1" t="s">
        <v>244</v>
      </c>
      <c r="C118" s="1" t="s">
        <v>245</v>
      </c>
      <c r="D118" s="1" t="s">
        <v>246</v>
      </c>
      <c r="E118" s="1" t="s">
        <v>247</v>
      </c>
      <c r="F118" s="1" t="s">
        <v>262</v>
      </c>
      <c r="G118" s="1" t="s">
        <v>24</v>
      </c>
      <c r="H118" s="1" t="s">
        <v>246</v>
      </c>
      <c r="I118" s="1" t="s">
        <v>290</v>
      </c>
      <c r="J118" s="1" t="s">
        <v>93</v>
      </c>
      <c r="K118" s="2">
        <v>13.68</v>
      </c>
      <c r="L118" s="2">
        <v>100</v>
      </c>
      <c r="M118" s="1" t="s">
        <v>293</v>
      </c>
      <c r="N118" s="1" t="s">
        <v>84</v>
      </c>
      <c r="O118" s="1" t="s">
        <v>294</v>
      </c>
      <c r="P118" s="8" t="s">
        <v>295</v>
      </c>
    </row>
    <row r="119" spans="1:16" ht="15.35" x14ac:dyDescent="0.5">
      <c r="A119" s="6" t="s">
        <v>243</v>
      </c>
      <c r="B119" s="1" t="s">
        <v>244</v>
      </c>
      <c r="C119" s="1" t="s">
        <v>245</v>
      </c>
      <c r="D119" s="1" t="s">
        <v>246</v>
      </c>
      <c r="E119" s="1" t="s">
        <v>247</v>
      </c>
      <c r="F119" s="1" t="s">
        <v>262</v>
      </c>
      <c r="G119" s="1" t="s">
        <v>24</v>
      </c>
      <c r="H119" s="1" t="s">
        <v>246</v>
      </c>
      <c r="I119" s="1" t="s">
        <v>290</v>
      </c>
      <c r="J119" s="1" t="s">
        <v>95</v>
      </c>
      <c r="K119" s="2">
        <v>9.4700000000000006</v>
      </c>
      <c r="L119" s="2">
        <v>100</v>
      </c>
      <c r="M119" s="1" t="s">
        <v>293</v>
      </c>
      <c r="N119" s="1" t="s">
        <v>84</v>
      </c>
      <c r="O119" s="1" t="s">
        <v>294</v>
      </c>
      <c r="P119" s="8" t="s">
        <v>295</v>
      </c>
    </row>
    <row r="120" spans="1:16" ht="30.35" x14ac:dyDescent="0.5">
      <c r="A120" s="6" t="s">
        <v>243</v>
      </c>
      <c r="B120" s="1" t="s">
        <v>244</v>
      </c>
      <c r="C120" s="1" t="s">
        <v>245</v>
      </c>
      <c r="D120" s="1" t="s">
        <v>246</v>
      </c>
      <c r="E120" s="1" t="s">
        <v>247</v>
      </c>
      <c r="F120" s="1" t="s">
        <v>262</v>
      </c>
      <c r="G120" s="1" t="s">
        <v>24</v>
      </c>
      <c r="H120" s="1" t="s">
        <v>246</v>
      </c>
      <c r="I120" s="1" t="s">
        <v>290</v>
      </c>
      <c r="J120" s="1" t="s">
        <v>63</v>
      </c>
      <c r="K120" s="2">
        <v>9.4700000000000006</v>
      </c>
      <c r="L120" s="2">
        <v>100</v>
      </c>
      <c r="M120" s="1" t="s">
        <v>285</v>
      </c>
      <c r="N120" s="1" t="s">
        <v>286</v>
      </c>
      <c r="O120" s="1" t="s">
        <v>296</v>
      </c>
      <c r="P120" s="8" t="s">
        <v>297</v>
      </c>
    </row>
    <row r="121" spans="1:16" ht="15.35" x14ac:dyDescent="0.5">
      <c r="A121" s="6" t="s">
        <v>243</v>
      </c>
      <c r="B121" s="1" t="s">
        <v>244</v>
      </c>
      <c r="C121" s="1" t="s">
        <v>245</v>
      </c>
      <c r="D121" s="1" t="s">
        <v>246</v>
      </c>
      <c r="E121" s="1" t="s">
        <v>247</v>
      </c>
      <c r="F121" s="1" t="s">
        <v>262</v>
      </c>
      <c r="G121" s="1" t="s">
        <v>24</v>
      </c>
      <c r="H121" s="1" t="s">
        <v>246</v>
      </c>
      <c r="I121" s="1" t="s">
        <v>290</v>
      </c>
      <c r="J121" s="1" t="s">
        <v>97</v>
      </c>
      <c r="K121" s="2">
        <v>21.64</v>
      </c>
      <c r="L121" s="2">
        <v>100</v>
      </c>
      <c r="M121" s="1" t="s">
        <v>293</v>
      </c>
      <c r="N121" s="1" t="s">
        <v>84</v>
      </c>
      <c r="O121" s="1" t="s">
        <v>294</v>
      </c>
      <c r="P121" s="8" t="s">
        <v>295</v>
      </c>
    </row>
    <row r="122" spans="1:16" ht="15.35" x14ac:dyDescent="0.5">
      <c r="A122" s="6" t="s">
        <v>243</v>
      </c>
      <c r="B122" s="1" t="s">
        <v>244</v>
      </c>
      <c r="C122" s="1" t="s">
        <v>245</v>
      </c>
      <c r="D122" s="1" t="s">
        <v>246</v>
      </c>
      <c r="E122" s="1" t="s">
        <v>247</v>
      </c>
      <c r="F122" s="1" t="s">
        <v>262</v>
      </c>
      <c r="G122" s="1" t="s">
        <v>24</v>
      </c>
      <c r="H122" s="1" t="s">
        <v>246</v>
      </c>
      <c r="I122" s="1" t="s">
        <v>290</v>
      </c>
      <c r="J122" s="1" t="s">
        <v>99</v>
      </c>
      <c r="K122" s="2">
        <v>3.99</v>
      </c>
      <c r="L122" s="2">
        <v>100</v>
      </c>
      <c r="M122" s="1" t="s">
        <v>293</v>
      </c>
      <c r="N122" s="1" t="s">
        <v>84</v>
      </c>
      <c r="O122" s="1" t="s">
        <v>294</v>
      </c>
      <c r="P122" s="8" t="s">
        <v>295</v>
      </c>
    </row>
    <row r="123" spans="1:16" ht="15.35" x14ac:dyDescent="0.5">
      <c r="A123" s="6" t="s">
        <v>243</v>
      </c>
      <c r="B123" s="1" t="s">
        <v>244</v>
      </c>
      <c r="C123" s="1" t="s">
        <v>245</v>
      </c>
      <c r="D123" s="1" t="s">
        <v>246</v>
      </c>
      <c r="E123" s="1" t="s">
        <v>247</v>
      </c>
      <c r="F123" s="1" t="s">
        <v>262</v>
      </c>
      <c r="G123" s="1" t="s">
        <v>24</v>
      </c>
      <c r="H123" s="1" t="s">
        <v>246</v>
      </c>
      <c r="I123" s="1" t="s">
        <v>290</v>
      </c>
      <c r="J123" s="1" t="s">
        <v>101</v>
      </c>
      <c r="K123" s="2">
        <v>4.59</v>
      </c>
      <c r="L123" s="2">
        <v>100</v>
      </c>
      <c r="M123" s="1" t="s">
        <v>293</v>
      </c>
      <c r="N123" s="1" t="s">
        <v>84</v>
      </c>
      <c r="O123" s="1" t="s">
        <v>294</v>
      </c>
      <c r="P123" s="8" t="s">
        <v>295</v>
      </c>
    </row>
    <row r="124" spans="1:16" ht="15.35" x14ac:dyDescent="0.5">
      <c r="A124" s="6" t="s">
        <v>243</v>
      </c>
      <c r="B124" s="1" t="s">
        <v>244</v>
      </c>
      <c r="C124" s="1" t="s">
        <v>245</v>
      </c>
      <c r="D124" s="1" t="s">
        <v>246</v>
      </c>
      <c r="E124" s="1" t="s">
        <v>247</v>
      </c>
      <c r="F124" s="1" t="s">
        <v>262</v>
      </c>
      <c r="G124" s="1" t="s">
        <v>24</v>
      </c>
      <c r="H124" s="1" t="s">
        <v>246</v>
      </c>
      <c r="I124" s="1" t="s">
        <v>290</v>
      </c>
      <c r="J124" s="1" t="s">
        <v>65</v>
      </c>
      <c r="K124" s="2">
        <v>12.55</v>
      </c>
      <c r="L124" s="2">
        <v>100</v>
      </c>
      <c r="M124" s="1" t="s">
        <v>251</v>
      </c>
      <c r="N124" s="1" t="s">
        <v>252</v>
      </c>
      <c r="O124" s="1" t="s">
        <v>318</v>
      </c>
      <c r="P124" s="8" t="s">
        <v>319</v>
      </c>
    </row>
    <row r="125" spans="1:16" ht="15.35" x14ac:dyDescent="0.5">
      <c r="A125" s="6" t="s">
        <v>243</v>
      </c>
      <c r="B125" s="1" t="s">
        <v>244</v>
      </c>
      <c r="C125" s="1" t="s">
        <v>245</v>
      </c>
      <c r="D125" s="1" t="s">
        <v>246</v>
      </c>
      <c r="E125" s="1" t="s">
        <v>247</v>
      </c>
      <c r="F125" s="1" t="s">
        <v>262</v>
      </c>
      <c r="G125" s="1" t="s">
        <v>24</v>
      </c>
      <c r="H125" s="1" t="s">
        <v>246</v>
      </c>
      <c r="I125" s="1" t="s">
        <v>290</v>
      </c>
      <c r="J125" s="1" t="s">
        <v>71</v>
      </c>
      <c r="K125" s="2">
        <v>22.86</v>
      </c>
      <c r="L125" s="2">
        <v>100</v>
      </c>
      <c r="M125" s="1" t="s">
        <v>277</v>
      </c>
      <c r="N125" s="1" t="s">
        <v>278</v>
      </c>
      <c r="O125" s="1" t="s">
        <v>306</v>
      </c>
      <c r="P125" s="8" t="s">
        <v>278</v>
      </c>
    </row>
    <row r="126" spans="1:16" ht="30.35" x14ac:dyDescent="0.5">
      <c r="A126" s="6" t="s">
        <v>243</v>
      </c>
      <c r="B126" s="1" t="s">
        <v>244</v>
      </c>
      <c r="C126" s="1" t="s">
        <v>245</v>
      </c>
      <c r="D126" s="1" t="s">
        <v>246</v>
      </c>
      <c r="E126" s="1" t="s">
        <v>247</v>
      </c>
      <c r="F126" s="1" t="s">
        <v>262</v>
      </c>
      <c r="G126" s="1" t="s">
        <v>24</v>
      </c>
      <c r="H126" s="1" t="s">
        <v>246</v>
      </c>
      <c r="I126" s="1" t="s">
        <v>290</v>
      </c>
      <c r="J126" s="1" t="s">
        <v>73</v>
      </c>
      <c r="K126" s="2">
        <v>18.97</v>
      </c>
      <c r="L126" s="2">
        <v>100</v>
      </c>
      <c r="M126" s="1" t="s">
        <v>285</v>
      </c>
      <c r="N126" s="1" t="s">
        <v>286</v>
      </c>
      <c r="O126" s="1" t="s">
        <v>296</v>
      </c>
      <c r="P126" s="8" t="s">
        <v>297</v>
      </c>
    </row>
    <row r="127" spans="1:16" ht="30.35" x14ac:dyDescent="0.5">
      <c r="A127" s="6" t="s">
        <v>243</v>
      </c>
      <c r="B127" s="1" t="s">
        <v>244</v>
      </c>
      <c r="C127" s="1" t="s">
        <v>245</v>
      </c>
      <c r="D127" s="1" t="s">
        <v>246</v>
      </c>
      <c r="E127" s="1" t="s">
        <v>247</v>
      </c>
      <c r="F127" s="1" t="s">
        <v>262</v>
      </c>
      <c r="G127" s="1" t="s">
        <v>24</v>
      </c>
      <c r="H127" s="1" t="s">
        <v>246</v>
      </c>
      <c r="I127" s="1" t="s">
        <v>290</v>
      </c>
      <c r="J127" s="1" t="s">
        <v>74</v>
      </c>
      <c r="K127" s="2">
        <v>15.1</v>
      </c>
      <c r="L127" s="2">
        <v>100</v>
      </c>
      <c r="M127" s="1" t="s">
        <v>285</v>
      </c>
      <c r="N127" s="1" t="s">
        <v>286</v>
      </c>
      <c r="O127" s="1" t="s">
        <v>296</v>
      </c>
      <c r="P127" s="8" t="s">
        <v>297</v>
      </c>
    </row>
    <row r="128" spans="1:16" ht="30.35" x14ac:dyDescent="0.5">
      <c r="A128" s="6" t="s">
        <v>243</v>
      </c>
      <c r="B128" s="1" t="s">
        <v>244</v>
      </c>
      <c r="C128" s="1" t="s">
        <v>245</v>
      </c>
      <c r="D128" s="1" t="s">
        <v>246</v>
      </c>
      <c r="E128" s="1" t="s">
        <v>247</v>
      </c>
      <c r="F128" s="1" t="s">
        <v>262</v>
      </c>
      <c r="G128" s="1" t="s">
        <v>24</v>
      </c>
      <c r="H128" s="1" t="s">
        <v>246</v>
      </c>
      <c r="I128" s="1" t="s">
        <v>290</v>
      </c>
      <c r="J128" s="1" t="s">
        <v>75</v>
      </c>
      <c r="K128" s="2">
        <v>16.309999999999999</v>
      </c>
      <c r="L128" s="2">
        <v>100</v>
      </c>
      <c r="M128" s="1" t="s">
        <v>285</v>
      </c>
      <c r="N128" s="1" t="s">
        <v>286</v>
      </c>
      <c r="O128" s="1" t="s">
        <v>296</v>
      </c>
      <c r="P128" s="8" t="s">
        <v>297</v>
      </c>
    </row>
    <row r="129" spans="1:16" ht="30.35" x14ac:dyDescent="0.5">
      <c r="A129" s="6" t="s">
        <v>243</v>
      </c>
      <c r="B129" s="1" t="s">
        <v>244</v>
      </c>
      <c r="C129" s="1" t="s">
        <v>245</v>
      </c>
      <c r="D129" s="1" t="s">
        <v>246</v>
      </c>
      <c r="E129" s="1" t="s">
        <v>247</v>
      </c>
      <c r="F129" s="1" t="s">
        <v>262</v>
      </c>
      <c r="G129" s="1" t="s">
        <v>24</v>
      </c>
      <c r="H129" s="1" t="s">
        <v>246</v>
      </c>
      <c r="I129" s="1" t="s">
        <v>290</v>
      </c>
      <c r="J129" s="1" t="s">
        <v>76</v>
      </c>
      <c r="K129" s="2">
        <v>16.32</v>
      </c>
      <c r="L129" s="2">
        <v>100</v>
      </c>
      <c r="M129" s="1" t="s">
        <v>285</v>
      </c>
      <c r="N129" s="1" t="s">
        <v>286</v>
      </c>
      <c r="O129" s="1" t="s">
        <v>296</v>
      </c>
      <c r="P129" s="8" t="s">
        <v>297</v>
      </c>
    </row>
    <row r="130" spans="1:16" ht="15.35" x14ac:dyDescent="0.5">
      <c r="A130" s="6" t="s">
        <v>243</v>
      </c>
      <c r="B130" s="1" t="s">
        <v>244</v>
      </c>
      <c r="C130" s="1" t="s">
        <v>245</v>
      </c>
      <c r="D130" s="1" t="s">
        <v>246</v>
      </c>
      <c r="E130" s="1" t="s">
        <v>247</v>
      </c>
      <c r="F130" s="1" t="s">
        <v>262</v>
      </c>
      <c r="G130" s="1" t="s">
        <v>24</v>
      </c>
      <c r="H130" s="1" t="s">
        <v>246</v>
      </c>
      <c r="I130" s="1" t="s">
        <v>290</v>
      </c>
      <c r="J130" s="1" t="s">
        <v>77</v>
      </c>
      <c r="K130" s="2">
        <v>15.1</v>
      </c>
      <c r="L130" s="2">
        <v>100</v>
      </c>
      <c r="M130" s="1" t="s">
        <v>277</v>
      </c>
      <c r="N130" s="1" t="s">
        <v>278</v>
      </c>
      <c r="O130" s="1" t="s">
        <v>306</v>
      </c>
      <c r="P130" s="8" t="s">
        <v>278</v>
      </c>
    </row>
    <row r="131" spans="1:16" ht="15.35" x14ac:dyDescent="0.5">
      <c r="A131" s="6" t="s">
        <v>243</v>
      </c>
      <c r="B131" s="1" t="s">
        <v>244</v>
      </c>
      <c r="C131" s="1" t="s">
        <v>245</v>
      </c>
      <c r="D131" s="1" t="s">
        <v>246</v>
      </c>
      <c r="E131" s="1" t="s">
        <v>247</v>
      </c>
      <c r="F131" s="1" t="s">
        <v>262</v>
      </c>
      <c r="G131" s="1" t="s">
        <v>24</v>
      </c>
      <c r="H131" s="1" t="s">
        <v>246</v>
      </c>
      <c r="I131" s="1" t="s">
        <v>290</v>
      </c>
      <c r="J131" s="1" t="s">
        <v>78</v>
      </c>
      <c r="K131" s="2">
        <v>7.08</v>
      </c>
      <c r="L131" s="2">
        <v>100</v>
      </c>
      <c r="M131" s="1" t="s">
        <v>251</v>
      </c>
      <c r="N131" s="1" t="s">
        <v>252</v>
      </c>
      <c r="O131" s="1" t="s">
        <v>316</v>
      </c>
      <c r="P131" s="8" t="s">
        <v>317</v>
      </c>
    </row>
    <row r="132" spans="1:16" ht="15.35" x14ac:dyDescent="0.5">
      <c r="A132" s="6" t="s">
        <v>243</v>
      </c>
      <c r="B132" s="1" t="s">
        <v>244</v>
      </c>
      <c r="C132" s="1" t="s">
        <v>245</v>
      </c>
      <c r="D132" s="1" t="s">
        <v>246</v>
      </c>
      <c r="E132" s="1" t="s">
        <v>247</v>
      </c>
      <c r="F132" s="1" t="s">
        <v>262</v>
      </c>
      <c r="G132" s="1" t="s">
        <v>24</v>
      </c>
      <c r="H132" s="1" t="s">
        <v>246</v>
      </c>
      <c r="I132" s="1" t="s">
        <v>290</v>
      </c>
      <c r="J132" s="1" t="s">
        <v>80</v>
      </c>
      <c r="K132" s="2">
        <v>14.3</v>
      </c>
      <c r="L132" s="2">
        <v>100</v>
      </c>
      <c r="M132" s="1" t="s">
        <v>251</v>
      </c>
      <c r="N132" s="1" t="s">
        <v>252</v>
      </c>
      <c r="O132" s="1" t="s">
        <v>304</v>
      </c>
      <c r="P132" s="8" t="s">
        <v>305</v>
      </c>
    </row>
    <row r="133" spans="1:16" ht="15.35" x14ac:dyDescent="0.5">
      <c r="A133" s="6" t="s">
        <v>243</v>
      </c>
      <c r="B133" s="1" t="s">
        <v>244</v>
      </c>
      <c r="C133" s="1" t="s">
        <v>245</v>
      </c>
      <c r="D133" s="1" t="s">
        <v>246</v>
      </c>
      <c r="E133" s="1" t="s">
        <v>247</v>
      </c>
      <c r="F133" s="1" t="s">
        <v>262</v>
      </c>
      <c r="G133" s="1" t="s">
        <v>24</v>
      </c>
      <c r="H133" s="1" t="s">
        <v>246</v>
      </c>
      <c r="I133" s="1" t="s">
        <v>290</v>
      </c>
      <c r="J133" s="1" t="s">
        <v>82</v>
      </c>
      <c r="K133" s="2">
        <v>13.87</v>
      </c>
      <c r="L133" s="2">
        <v>100</v>
      </c>
      <c r="M133" s="1" t="s">
        <v>269</v>
      </c>
      <c r="N133" s="1" t="s">
        <v>270</v>
      </c>
      <c r="O133" s="1" t="s">
        <v>271</v>
      </c>
      <c r="P133" s="8" t="s">
        <v>272</v>
      </c>
    </row>
    <row r="134" spans="1:16" ht="15.35" x14ac:dyDescent="0.5">
      <c r="A134" s="6" t="s">
        <v>243</v>
      </c>
      <c r="B134" s="1" t="s">
        <v>244</v>
      </c>
      <c r="C134" s="1" t="s">
        <v>245</v>
      </c>
      <c r="D134" s="1" t="s">
        <v>246</v>
      </c>
      <c r="E134" s="1" t="s">
        <v>247</v>
      </c>
      <c r="F134" s="1" t="s">
        <v>262</v>
      </c>
      <c r="G134" s="1" t="s">
        <v>24</v>
      </c>
      <c r="H134" s="1" t="s">
        <v>246</v>
      </c>
      <c r="I134" s="1" t="s">
        <v>290</v>
      </c>
      <c r="J134" s="1" t="s">
        <v>83</v>
      </c>
      <c r="K134" s="2">
        <v>61.38</v>
      </c>
      <c r="L134" s="2">
        <v>100</v>
      </c>
      <c r="M134" s="1" t="s">
        <v>251</v>
      </c>
      <c r="N134" s="1" t="s">
        <v>252</v>
      </c>
      <c r="O134" s="1" t="s">
        <v>318</v>
      </c>
      <c r="P134" s="8" t="s">
        <v>319</v>
      </c>
    </row>
    <row r="135" spans="1:16" ht="15.35" x14ac:dyDescent="0.5">
      <c r="A135" s="6" t="s">
        <v>243</v>
      </c>
      <c r="B135" s="1" t="s">
        <v>244</v>
      </c>
      <c r="C135" s="1" t="s">
        <v>245</v>
      </c>
      <c r="D135" s="1" t="s">
        <v>246</v>
      </c>
      <c r="E135" s="1" t="s">
        <v>247</v>
      </c>
      <c r="F135" s="1" t="s">
        <v>262</v>
      </c>
      <c r="G135" s="1" t="s">
        <v>24</v>
      </c>
      <c r="H135" s="1" t="s">
        <v>246</v>
      </c>
      <c r="I135" s="1" t="s">
        <v>290</v>
      </c>
      <c r="J135" s="1" t="s">
        <v>85</v>
      </c>
      <c r="K135" s="2">
        <v>9</v>
      </c>
      <c r="L135" s="2">
        <v>100</v>
      </c>
      <c r="M135" s="1" t="s">
        <v>251</v>
      </c>
      <c r="N135" s="1" t="s">
        <v>252</v>
      </c>
      <c r="O135" s="1" t="s">
        <v>318</v>
      </c>
      <c r="P135" s="8" t="s">
        <v>319</v>
      </c>
    </row>
    <row r="136" spans="1:16" ht="15.35" x14ac:dyDescent="0.5">
      <c r="A136" s="6" t="s">
        <v>243</v>
      </c>
      <c r="B136" s="1" t="s">
        <v>244</v>
      </c>
      <c r="C136" s="1" t="s">
        <v>245</v>
      </c>
      <c r="D136" s="1" t="s">
        <v>246</v>
      </c>
      <c r="E136" s="1" t="s">
        <v>247</v>
      </c>
      <c r="F136" s="1" t="s">
        <v>262</v>
      </c>
      <c r="G136" s="1" t="s">
        <v>24</v>
      </c>
      <c r="H136" s="1" t="s">
        <v>246</v>
      </c>
      <c r="I136" s="1" t="s">
        <v>290</v>
      </c>
      <c r="J136" s="1" t="s">
        <v>86</v>
      </c>
      <c r="K136" s="2">
        <v>11.96</v>
      </c>
      <c r="L136" s="2">
        <v>100</v>
      </c>
      <c r="M136" s="1" t="s">
        <v>277</v>
      </c>
      <c r="N136" s="1" t="s">
        <v>278</v>
      </c>
      <c r="O136" s="1" t="s">
        <v>306</v>
      </c>
      <c r="P136" s="8" t="s">
        <v>278</v>
      </c>
    </row>
    <row r="137" spans="1:16" ht="15.35" x14ac:dyDescent="0.5">
      <c r="A137" s="6" t="s">
        <v>243</v>
      </c>
      <c r="B137" s="1" t="s">
        <v>244</v>
      </c>
      <c r="C137" s="1" t="s">
        <v>245</v>
      </c>
      <c r="D137" s="1" t="s">
        <v>246</v>
      </c>
      <c r="E137" s="1" t="s">
        <v>247</v>
      </c>
      <c r="F137" s="1" t="s">
        <v>262</v>
      </c>
      <c r="G137" s="1" t="s">
        <v>24</v>
      </c>
      <c r="H137" s="1" t="s">
        <v>246</v>
      </c>
      <c r="I137" s="1" t="s">
        <v>290</v>
      </c>
      <c r="J137" s="1" t="s">
        <v>88</v>
      </c>
      <c r="K137" s="2">
        <v>13.29</v>
      </c>
      <c r="L137" s="2">
        <v>100</v>
      </c>
      <c r="M137" s="1" t="s">
        <v>277</v>
      </c>
      <c r="N137" s="1" t="s">
        <v>278</v>
      </c>
      <c r="O137" s="1" t="s">
        <v>306</v>
      </c>
      <c r="P137" s="8" t="s">
        <v>278</v>
      </c>
    </row>
    <row r="138" spans="1:16" ht="15.35" x14ac:dyDescent="0.5">
      <c r="A138" s="6" t="s">
        <v>243</v>
      </c>
      <c r="B138" s="1" t="s">
        <v>244</v>
      </c>
      <c r="C138" s="1" t="s">
        <v>245</v>
      </c>
      <c r="D138" s="1" t="s">
        <v>246</v>
      </c>
      <c r="E138" s="1" t="s">
        <v>247</v>
      </c>
      <c r="F138" s="1" t="s">
        <v>262</v>
      </c>
      <c r="G138" s="1" t="s">
        <v>24</v>
      </c>
      <c r="H138" s="1" t="s">
        <v>246</v>
      </c>
      <c r="I138" s="1" t="s">
        <v>290</v>
      </c>
      <c r="J138" s="1" t="s">
        <v>90</v>
      </c>
      <c r="K138" s="2">
        <v>14.54</v>
      </c>
      <c r="L138" s="2">
        <v>100</v>
      </c>
      <c r="M138" s="1" t="s">
        <v>277</v>
      </c>
      <c r="N138" s="1" t="s">
        <v>278</v>
      </c>
      <c r="O138" s="1" t="s">
        <v>306</v>
      </c>
      <c r="P138" s="8" t="s">
        <v>278</v>
      </c>
    </row>
    <row r="139" spans="1:16" ht="15.35" x14ac:dyDescent="0.5">
      <c r="A139" s="6" t="s">
        <v>243</v>
      </c>
      <c r="B139" s="1" t="s">
        <v>244</v>
      </c>
      <c r="C139" s="1" t="s">
        <v>245</v>
      </c>
      <c r="D139" s="1" t="s">
        <v>246</v>
      </c>
      <c r="E139" s="1" t="s">
        <v>247</v>
      </c>
      <c r="F139" s="1" t="s">
        <v>262</v>
      </c>
      <c r="G139" s="1" t="s">
        <v>24</v>
      </c>
      <c r="H139" s="1" t="s">
        <v>246</v>
      </c>
      <c r="I139" s="1" t="s">
        <v>290</v>
      </c>
      <c r="J139" s="1" t="s">
        <v>92</v>
      </c>
      <c r="K139" s="2">
        <v>14.79</v>
      </c>
      <c r="L139" s="2">
        <v>100</v>
      </c>
      <c r="M139" s="1" t="s">
        <v>277</v>
      </c>
      <c r="N139" s="1" t="s">
        <v>278</v>
      </c>
      <c r="O139" s="1" t="s">
        <v>306</v>
      </c>
      <c r="P139" s="8" t="s">
        <v>278</v>
      </c>
    </row>
    <row r="140" spans="1:16" ht="15.35" x14ac:dyDescent="0.5">
      <c r="A140" s="6" t="s">
        <v>243</v>
      </c>
      <c r="B140" s="1" t="s">
        <v>244</v>
      </c>
      <c r="C140" s="1" t="s">
        <v>245</v>
      </c>
      <c r="D140" s="1" t="s">
        <v>246</v>
      </c>
      <c r="E140" s="1" t="s">
        <v>247</v>
      </c>
      <c r="F140" s="1" t="s">
        <v>262</v>
      </c>
      <c r="G140" s="1" t="s">
        <v>24</v>
      </c>
      <c r="H140" s="1" t="s">
        <v>246</v>
      </c>
      <c r="I140" s="1" t="s">
        <v>290</v>
      </c>
      <c r="J140" s="1" t="s">
        <v>94</v>
      </c>
      <c r="K140" s="2">
        <v>14.46</v>
      </c>
      <c r="L140" s="2">
        <v>100</v>
      </c>
      <c r="M140" s="1" t="s">
        <v>277</v>
      </c>
      <c r="N140" s="1" t="s">
        <v>278</v>
      </c>
      <c r="O140" s="1" t="s">
        <v>306</v>
      </c>
      <c r="P140" s="8" t="s">
        <v>278</v>
      </c>
    </row>
    <row r="141" spans="1:16" ht="15.35" x14ac:dyDescent="0.5">
      <c r="A141" s="6" t="s">
        <v>243</v>
      </c>
      <c r="B141" s="1" t="s">
        <v>244</v>
      </c>
      <c r="C141" s="1" t="s">
        <v>245</v>
      </c>
      <c r="D141" s="1" t="s">
        <v>246</v>
      </c>
      <c r="E141" s="1" t="s">
        <v>247</v>
      </c>
      <c r="F141" s="1" t="s">
        <v>262</v>
      </c>
      <c r="G141" s="1" t="s">
        <v>24</v>
      </c>
      <c r="H141" s="1" t="s">
        <v>246</v>
      </c>
      <c r="I141" s="1" t="s">
        <v>290</v>
      </c>
      <c r="J141" s="1" t="s">
        <v>96</v>
      </c>
      <c r="K141" s="2">
        <v>14.46</v>
      </c>
      <c r="L141" s="2">
        <v>100</v>
      </c>
      <c r="M141" s="1" t="s">
        <v>277</v>
      </c>
      <c r="N141" s="1" t="s">
        <v>278</v>
      </c>
      <c r="O141" s="1" t="s">
        <v>306</v>
      </c>
      <c r="P141" s="8" t="s">
        <v>278</v>
      </c>
    </row>
    <row r="142" spans="1:16" ht="15.35" x14ac:dyDescent="0.5">
      <c r="A142" s="6" t="s">
        <v>243</v>
      </c>
      <c r="B142" s="1" t="s">
        <v>244</v>
      </c>
      <c r="C142" s="1" t="s">
        <v>245</v>
      </c>
      <c r="D142" s="1" t="s">
        <v>246</v>
      </c>
      <c r="E142" s="1" t="s">
        <v>247</v>
      </c>
      <c r="F142" s="1" t="s">
        <v>262</v>
      </c>
      <c r="G142" s="1" t="s">
        <v>24</v>
      </c>
      <c r="H142" s="1" t="s">
        <v>246</v>
      </c>
      <c r="I142" s="1" t="s">
        <v>290</v>
      </c>
      <c r="J142" s="1" t="s">
        <v>98</v>
      </c>
      <c r="K142" s="2">
        <v>14.46</v>
      </c>
      <c r="L142" s="2">
        <v>100</v>
      </c>
      <c r="M142" s="1" t="s">
        <v>277</v>
      </c>
      <c r="N142" s="1" t="s">
        <v>278</v>
      </c>
      <c r="O142" s="1" t="s">
        <v>306</v>
      </c>
      <c r="P142" s="8" t="s">
        <v>278</v>
      </c>
    </row>
    <row r="143" spans="1:16" ht="15.35" x14ac:dyDescent="0.5">
      <c r="A143" s="6" t="s">
        <v>243</v>
      </c>
      <c r="B143" s="1" t="s">
        <v>244</v>
      </c>
      <c r="C143" s="1" t="s">
        <v>245</v>
      </c>
      <c r="D143" s="1" t="s">
        <v>246</v>
      </c>
      <c r="E143" s="1" t="s">
        <v>247</v>
      </c>
      <c r="F143" s="1" t="s">
        <v>262</v>
      </c>
      <c r="G143" s="1" t="s">
        <v>24</v>
      </c>
      <c r="H143" s="1" t="s">
        <v>246</v>
      </c>
      <c r="I143" s="1" t="s">
        <v>290</v>
      </c>
      <c r="J143" s="1" t="s">
        <v>100</v>
      </c>
      <c r="K143" s="2">
        <v>14.46</v>
      </c>
      <c r="L143" s="2">
        <v>100</v>
      </c>
      <c r="M143" s="1" t="s">
        <v>277</v>
      </c>
      <c r="N143" s="1" t="s">
        <v>278</v>
      </c>
      <c r="O143" s="1" t="s">
        <v>306</v>
      </c>
      <c r="P143" s="8" t="s">
        <v>278</v>
      </c>
    </row>
    <row r="144" spans="1:16" ht="15.35" x14ac:dyDescent="0.5">
      <c r="A144" s="6" t="s">
        <v>243</v>
      </c>
      <c r="B144" s="1" t="s">
        <v>244</v>
      </c>
      <c r="C144" s="1" t="s">
        <v>245</v>
      </c>
      <c r="D144" s="1" t="s">
        <v>246</v>
      </c>
      <c r="E144" s="1" t="s">
        <v>247</v>
      </c>
      <c r="F144" s="1" t="s">
        <v>262</v>
      </c>
      <c r="G144" s="1" t="s">
        <v>24</v>
      </c>
      <c r="H144" s="1" t="s">
        <v>246</v>
      </c>
      <c r="I144" s="1" t="s">
        <v>290</v>
      </c>
      <c r="J144" s="1" t="s">
        <v>102</v>
      </c>
      <c r="K144" s="2">
        <v>14.78</v>
      </c>
      <c r="L144" s="2">
        <v>100</v>
      </c>
      <c r="M144" s="1" t="s">
        <v>277</v>
      </c>
      <c r="N144" s="1" t="s">
        <v>278</v>
      </c>
      <c r="O144" s="1" t="s">
        <v>306</v>
      </c>
      <c r="P144" s="8" t="s">
        <v>278</v>
      </c>
    </row>
    <row r="145" spans="1:16" ht="15.35" x14ac:dyDescent="0.5">
      <c r="A145" s="6" t="s">
        <v>243</v>
      </c>
      <c r="B145" s="1" t="s">
        <v>244</v>
      </c>
      <c r="C145" s="1" t="s">
        <v>245</v>
      </c>
      <c r="D145" s="1" t="s">
        <v>246</v>
      </c>
      <c r="E145" s="1" t="s">
        <v>247</v>
      </c>
      <c r="F145" s="1" t="s">
        <v>262</v>
      </c>
      <c r="G145" s="1" t="s">
        <v>24</v>
      </c>
      <c r="H145" s="1" t="s">
        <v>246</v>
      </c>
      <c r="I145" s="1" t="s">
        <v>290</v>
      </c>
      <c r="J145" s="1" t="s">
        <v>320</v>
      </c>
      <c r="K145" s="2">
        <v>0</v>
      </c>
      <c r="L145" s="2">
        <v>100</v>
      </c>
      <c r="M145" s="1" t="s">
        <v>273</v>
      </c>
      <c r="N145" s="1" t="s">
        <v>274</v>
      </c>
      <c r="O145" s="1" t="s">
        <v>275</v>
      </c>
      <c r="P145" s="8" t="s">
        <v>276</v>
      </c>
    </row>
    <row r="146" spans="1:16" ht="15.35" x14ac:dyDescent="0.5">
      <c r="A146" s="6" t="s">
        <v>243</v>
      </c>
      <c r="B146" s="1" t="s">
        <v>244</v>
      </c>
      <c r="C146" s="1" t="s">
        <v>245</v>
      </c>
      <c r="D146" s="1" t="s">
        <v>246</v>
      </c>
      <c r="E146" s="1" t="s">
        <v>247</v>
      </c>
      <c r="F146" s="1" t="s">
        <v>262</v>
      </c>
      <c r="G146" s="1" t="s">
        <v>24</v>
      </c>
      <c r="H146" s="1" t="s">
        <v>246</v>
      </c>
      <c r="I146" s="1" t="s">
        <v>290</v>
      </c>
      <c r="J146" s="1" t="s">
        <v>72</v>
      </c>
      <c r="K146" s="2">
        <v>65.67</v>
      </c>
      <c r="L146" s="2">
        <v>100</v>
      </c>
      <c r="M146" s="1" t="s">
        <v>273</v>
      </c>
      <c r="N146" s="1" t="s">
        <v>274</v>
      </c>
      <c r="O146" s="1" t="s">
        <v>275</v>
      </c>
      <c r="P146" s="8" t="s">
        <v>276</v>
      </c>
    </row>
    <row r="147" spans="1:16" ht="30.35" x14ac:dyDescent="0.5">
      <c r="A147" s="7" t="s">
        <v>243</v>
      </c>
      <c r="B147" s="3" t="s">
        <v>244</v>
      </c>
      <c r="C147" s="3" t="s">
        <v>245</v>
      </c>
      <c r="D147" s="3" t="s">
        <v>246</v>
      </c>
      <c r="E147" s="3" t="s">
        <v>247</v>
      </c>
      <c r="F147" s="3" t="s">
        <v>262</v>
      </c>
      <c r="G147" s="3" t="s">
        <v>24</v>
      </c>
      <c r="H147" s="3" t="s">
        <v>246</v>
      </c>
      <c r="I147" s="3" t="s">
        <v>298</v>
      </c>
      <c r="J147" s="3" t="s">
        <v>105</v>
      </c>
      <c r="K147" s="4">
        <v>16.43</v>
      </c>
      <c r="L147" s="4">
        <v>100</v>
      </c>
      <c r="M147" s="3" t="s">
        <v>281</v>
      </c>
      <c r="N147" s="5" t="s">
        <v>282</v>
      </c>
      <c r="O147" s="5" t="s">
        <v>253</v>
      </c>
      <c r="P147" s="9" t="s">
        <v>254</v>
      </c>
    </row>
    <row r="148" spans="1:16" ht="30.35" x14ac:dyDescent="0.5">
      <c r="A148" s="7" t="s">
        <v>243</v>
      </c>
      <c r="B148" s="3" t="s">
        <v>244</v>
      </c>
      <c r="C148" s="3" t="s">
        <v>245</v>
      </c>
      <c r="D148" s="3" t="s">
        <v>246</v>
      </c>
      <c r="E148" s="3" t="s">
        <v>247</v>
      </c>
      <c r="F148" s="3" t="s">
        <v>262</v>
      </c>
      <c r="G148" s="3" t="s">
        <v>24</v>
      </c>
      <c r="H148" s="3" t="s">
        <v>246</v>
      </c>
      <c r="I148" s="3" t="s">
        <v>298</v>
      </c>
      <c r="J148" s="3" t="s">
        <v>106</v>
      </c>
      <c r="K148" s="4">
        <v>10.89</v>
      </c>
      <c r="L148" s="4">
        <v>100</v>
      </c>
      <c r="M148" s="3" t="s">
        <v>277</v>
      </c>
      <c r="N148" s="5" t="s">
        <v>282</v>
      </c>
      <c r="O148" s="5" t="s">
        <v>253</v>
      </c>
      <c r="P148" s="9" t="s">
        <v>254</v>
      </c>
    </row>
    <row r="149" spans="1:16" ht="30.35" x14ac:dyDescent="0.5">
      <c r="A149" s="7" t="s">
        <v>243</v>
      </c>
      <c r="B149" s="3" t="s">
        <v>244</v>
      </c>
      <c r="C149" s="3" t="s">
        <v>245</v>
      </c>
      <c r="D149" s="3" t="s">
        <v>246</v>
      </c>
      <c r="E149" s="3" t="s">
        <v>247</v>
      </c>
      <c r="F149" s="3" t="s">
        <v>262</v>
      </c>
      <c r="G149" s="3" t="s">
        <v>24</v>
      </c>
      <c r="H149" s="3" t="s">
        <v>246</v>
      </c>
      <c r="I149" s="3" t="s">
        <v>298</v>
      </c>
      <c r="J149" s="3" t="s">
        <v>107</v>
      </c>
      <c r="K149" s="4">
        <v>14.32</v>
      </c>
      <c r="L149" s="4">
        <v>100</v>
      </c>
      <c r="M149" s="3" t="s">
        <v>277</v>
      </c>
      <c r="N149" s="5" t="s">
        <v>282</v>
      </c>
      <c r="O149" s="5" t="s">
        <v>253</v>
      </c>
      <c r="P149" s="9" t="s">
        <v>254</v>
      </c>
    </row>
    <row r="150" spans="1:16" ht="30.35" x14ac:dyDescent="0.5">
      <c r="A150" s="6" t="s">
        <v>243</v>
      </c>
      <c r="B150" s="1" t="s">
        <v>244</v>
      </c>
      <c r="C150" s="1" t="s">
        <v>245</v>
      </c>
      <c r="D150" s="1" t="s">
        <v>246</v>
      </c>
      <c r="E150" s="1" t="s">
        <v>247</v>
      </c>
      <c r="F150" s="1" t="s">
        <v>262</v>
      </c>
      <c r="G150" s="1" t="s">
        <v>24</v>
      </c>
      <c r="H150" s="1" t="s">
        <v>246</v>
      </c>
      <c r="I150" s="1" t="s">
        <v>298</v>
      </c>
      <c r="J150" s="1" t="s">
        <v>108</v>
      </c>
      <c r="K150" s="2">
        <v>10.97</v>
      </c>
      <c r="L150" s="2">
        <v>100</v>
      </c>
      <c r="M150" s="1" t="s">
        <v>281</v>
      </c>
      <c r="N150" s="1" t="s">
        <v>282</v>
      </c>
      <c r="O150" s="1" t="s">
        <v>253</v>
      </c>
      <c r="P150" s="8" t="s">
        <v>254</v>
      </c>
    </row>
    <row r="151" spans="1:16" ht="30.35" x14ac:dyDescent="0.5">
      <c r="A151" s="6" t="s">
        <v>243</v>
      </c>
      <c r="B151" s="1" t="s">
        <v>244</v>
      </c>
      <c r="C151" s="1" t="s">
        <v>245</v>
      </c>
      <c r="D151" s="1" t="s">
        <v>246</v>
      </c>
      <c r="E151" s="1" t="s">
        <v>247</v>
      </c>
      <c r="F151" s="1" t="s">
        <v>262</v>
      </c>
      <c r="G151" s="1" t="s">
        <v>24</v>
      </c>
      <c r="H151" s="1" t="s">
        <v>246</v>
      </c>
      <c r="I151" s="1" t="s">
        <v>298</v>
      </c>
      <c r="J151" s="1" t="s">
        <v>109</v>
      </c>
      <c r="K151" s="2">
        <v>19.239999999999998</v>
      </c>
      <c r="L151" s="2">
        <v>100</v>
      </c>
      <c r="M151" s="1" t="s">
        <v>281</v>
      </c>
      <c r="N151" s="1" t="s">
        <v>282</v>
      </c>
      <c r="O151" s="1" t="s">
        <v>253</v>
      </c>
      <c r="P151" s="8" t="s">
        <v>254</v>
      </c>
    </row>
    <row r="152" spans="1:16" ht="15.35" x14ac:dyDescent="0.5">
      <c r="A152" s="6" t="s">
        <v>243</v>
      </c>
      <c r="B152" s="1" t="s">
        <v>244</v>
      </c>
      <c r="C152" s="1" t="s">
        <v>245</v>
      </c>
      <c r="D152" s="1" t="s">
        <v>246</v>
      </c>
      <c r="E152" s="1" t="s">
        <v>247</v>
      </c>
      <c r="F152" s="1" t="s">
        <v>262</v>
      </c>
      <c r="G152" s="1" t="s">
        <v>24</v>
      </c>
      <c r="H152" s="1" t="s">
        <v>246</v>
      </c>
      <c r="I152" s="1" t="s">
        <v>298</v>
      </c>
      <c r="J152" s="1" t="s">
        <v>110</v>
      </c>
      <c r="K152" s="2">
        <v>18.52</v>
      </c>
      <c r="L152" s="2">
        <v>100</v>
      </c>
      <c r="M152" s="1" t="s">
        <v>277</v>
      </c>
      <c r="N152" s="1" t="s">
        <v>278</v>
      </c>
      <c r="O152" s="1" t="s">
        <v>306</v>
      </c>
      <c r="P152" s="8" t="s">
        <v>278</v>
      </c>
    </row>
    <row r="153" spans="1:16" ht="15.35" x14ac:dyDescent="0.5">
      <c r="A153" s="6" t="s">
        <v>243</v>
      </c>
      <c r="B153" s="1" t="s">
        <v>244</v>
      </c>
      <c r="C153" s="1" t="s">
        <v>245</v>
      </c>
      <c r="D153" s="1" t="s">
        <v>246</v>
      </c>
      <c r="E153" s="1" t="s">
        <v>247</v>
      </c>
      <c r="F153" s="1" t="s">
        <v>262</v>
      </c>
      <c r="G153" s="1" t="s">
        <v>24</v>
      </c>
      <c r="H153" s="1" t="s">
        <v>246</v>
      </c>
      <c r="I153" s="1" t="s">
        <v>298</v>
      </c>
      <c r="J153" s="1" t="s">
        <v>112</v>
      </c>
      <c r="K153" s="2">
        <v>16.829999999999998</v>
      </c>
      <c r="L153" s="2">
        <v>100</v>
      </c>
      <c r="M153" s="1" t="s">
        <v>277</v>
      </c>
      <c r="N153" s="1" t="s">
        <v>278</v>
      </c>
      <c r="O153" s="1" t="s">
        <v>306</v>
      </c>
      <c r="P153" s="8" t="s">
        <v>278</v>
      </c>
    </row>
    <row r="154" spans="1:16" ht="30.35" x14ac:dyDescent="0.5">
      <c r="A154" s="6" t="s">
        <v>243</v>
      </c>
      <c r="B154" s="1" t="s">
        <v>244</v>
      </c>
      <c r="C154" s="1" t="s">
        <v>245</v>
      </c>
      <c r="D154" s="1" t="s">
        <v>246</v>
      </c>
      <c r="E154" s="1" t="s">
        <v>247</v>
      </c>
      <c r="F154" s="1" t="s">
        <v>262</v>
      </c>
      <c r="G154" s="1" t="s">
        <v>24</v>
      </c>
      <c r="H154" s="1" t="s">
        <v>246</v>
      </c>
      <c r="I154" s="1" t="s">
        <v>298</v>
      </c>
      <c r="J154" s="1" t="s">
        <v>114</v>
      </c>
      <c r="K154" s="2">
        <v>11.25</v>
      </c>
      <c r="L154" s="2">
        <v>100</v>
      </c>
      <c r="M154" s="1" t="s">
        <v>281</v>
      </c>
      <c r="N154" s="1" t="s">
        <v>282</v>
      </c>
      <c r="O154" s="1" t="s">
        <v>253</v>
      </c>
      <c r="P154" s="8" t="s">
        <v>254</v>
      </c>
    </row>
    <row r="155" spans="1:16" ht="30.35" x14ac:dyDescent="0.5">
      <c r="A155" s="6" t="s">
        <v>243</v>
      </c>
      <c r="B155" s="1" t="s">
        <v>244</v>
      </c>
      <c r="C155" s="1" t="s">
        <v>245</v>
      </c>
      <c r="D155" s="1" t="s">
        <v>246</v>
      </c>
      <c r="E155" s="1" t="s">
        <v>247</v>
      </c>
      <c r="F155" s="1" t="s">
        <v>262</v>
      </c>
      <c r="G155" s="1" t="s">
        <v>24</v>
      </c>
      <c r="H155" s="1" t="s">
        <v>246</v>
      </c>
      <c r="I155" s="1" t="s">
        <v>298</v>
      </c>
      <c r="J155" s="1" t="s">
        <v>115</v>
      </c>
      <c r="K155" s="2">
        <v>14.43</v>
      </c>
      <c r="L155" s="2">
        <v>100</v>
      </c>
      <c r="M155" s="1" t="s">
        <v>281</v>
      </c>
      <c r="N155" s="1" t="s">
        <v>282</v>
      </c>
      <c r="O155" s="1" t="s">
        <v>253</v>
      </c>
      <c r="P155" s="8" t="s">
        <v>254</v>
      </c>
    </row>
    <row r="156" spans="1:16" ht="15.35" x14ac:dyDescent="0.5">
      <c r="A156" s="7" t="s">
        <v>243</v>
      </c>
      <c r="B156" s="3" t="s">
        <v>244</v>
      </c>
      <c r="C156" s="3" t="s">
        <v>245</v>
      </c>
      <c r="D156" s="3" t="s">
        <v>246</v>
      </c>
      <c r="E156" s="3" t="s">
        <v>247</v>
      </c>
      <c r="F156" s="3" t="s">
        <v>262</v>
      </c>
      <c r="G156" s="3" t="s">
        <v>24</v>
      </c>
      <c r="H156" s="3" t="s">
        <v>246</v>
      </c>
      <c r="I156" s="3" t="s">
        <v>298</v>
      </c>
      <c r="J156" s="3" t="s">
        <v>116</v>
      </c>
      <c r="K156" s="4">
        <v>13.77</v>
      </c>
      <c r="L156" s="4">
        <v>100</v>
      </c>
      <c r="M156" s="3" t="s">
        <v>277</v>
      </c>
      <c r="N156" s="3" t="s">
        <v>278</v>
      </c>
      <c r="O156" s="3" t="s">
        <v>306</v>
      </c>
      <c r="P156" s="10" t="s">
        <v>278</v>
      </c>
    </row>
    <row r="157" spans="1:16" ht="15.35" x14ac:dyDescent="0.5">
      <c r="A157" s="6" t="s">
        <v>243</v>
      </c>
      <c r="B157" s="1" t="s">
        <v>244</v>
      </c>
      <c r="C157" s="1" t="s">
        <v>245</v>
      </c>
      <c r="D157" s="1" t="s">
        <v>246</v>
      </c>
      <c r="E157" s="1" t="s">
        <v>247</v>
      </c>
      <c r="F157" s="1" t="s">
        <v>262</v>
      </c>
      <c r="G157" s="1" t="s">
        <v>24</v>
      </c>
      <c r="H157" s="1" t="s">
        <v>246</v>
      </c>
      <c r="I157" s="1" t="s">
        <v>298</v>
      </c>
      <c r="J157" s="1" t="s">
        <v>117</v>
      </c>
      <c r="K157" s="2">
        <v>13.47</v>
      </c>
      <c r="L157" s="2">
        <v>100</v>
      </c>
      <c r="M157" s="1" t="s">
        <v>277</v>
      </c>
      <c r="N157" s="1" t="s">
        <v>278</v>
      </c>
      <c r="O157" s="1" t="s">
        <v>306</v>
      </c>
      <c r="P157" s="8" t="s">
        <v>278</v>
      </c>
    </row>
    <row r="158" spans="1:16" ht="15.35" x14ac:dyDescent="0.5">
      <c r="A158" s="6" t="s">
        <v>243</v>
      </c>
      <c r="B158" s="1" t="s">
        <v>244</v>
      </c>
      <c r="C158" s="1" t="s">
        <v>245</v>
      </c>
      <c r="D158" s="1" t="s">
        <v>246</v>
      </c>
      <c r="E158" s="1" t="s">
        <v>247</v>
      </c>
      <c r="F158" s="1" t="s">
        <v>262</v>
      </c>
      <c r="G158" s="1" t="s">
        <v>24</v>
      </c>
      <c r="H158" s="1" t="s">
        <v>246</v>
      </c>
      <c r="I158" s="1" t="s">
        <v>298</v>
      </c>
      <c r="J158" s="1" t="s">
        <v>119</v>
      </c>
      <c r="K158" s="2">
        <v>14.3</v>
      </c>
      <c r="L158" s="2">
        <v>100</v>
      </c>
      <c r="M158" s="1" t="s">
        <v>269</v>
      </c>
      <c r="N158" s="1" t="s">
        <v>270</v>
      </c>
      <c r="O158" s="1" t="s">
        <v>271</v>
      </c>
      <c r="P158" s="8" t="s">
        <v>272</v>
      </c>
    </row>
    <row r="159" spans="1:16" ht="30.35" x14ac:dyDescent="0.5">
      <c r="A159" s="6" t="s">
        <v>243</v>
      </c>
      <c r="B159" s="1" t="s">
        <v>244</v>
      </c>
      <c r="C159" s="1" t="s">
        <v>245</v>
      </c>
      <c r="D159" s="1" t="s">
        <v>246</v>
      </c>
      <c r="E159" s="1" t="s">
        <v>247</v>
      </c>
      <c r="F159" s="1" t="s">
        <v>262</v>
      </c>
      <c r="G159" s="1" t="s">
        <v>24</v>
      </c>
      <c r="H159" s="1" t="s">
        <v>246</v>
      </c>
      <c r="I159" s="1" t="s">
        <v>298</v>
      </c>
      <c r="J159" s="1" t="s">
        <v>120</v>
      </c>
      <c r="K159" s="2">
        <v>0</v>
      </c>
      <c r="L159" s="2">
        <v>100</v>
      </c>
      <c r="M159" s="1" t="s">
        <v>281</v>
      </c>
      <c r="N159" s="1" t="s">
        <v>282</v>
      </c>
      <c r="O159" s="1" t="s">
        <v>253</v>
      </c>
      <c r="P159" s="8" t="s">
        <v>254</v>
      </c>
    </row>
    <row r="160" spans="1:16" ht="15.35" x14ac:dyDescent="0.5">
      <c r="A160" s="6" t="s">
        <v>243</v>
      </c>
      <c r="B160" s="1" t="s">
        <v>244</v>
      </c>
      <c r="C160" s="1" t="s">
        <v>245</v>
      </c>
      <c r="D160" s="1" t="s">
        <v>246</v>
      </c>
      <c r="E160" s="1" t="s">
        <v>247</v>
      </c>
      <c r="F160" s="1" t="s">
        <v>262</v>
      </c>
      <c r="G160" s="1" t="s">
        <v>24</v>
      </c>
      <c r="H160" s="1" t="s">
        <v>246</v>
      </c>
      <c r="I160" s="1" t="s">
        <v>298</v>
      </c>
      <c r="J160" s="1" t="s">
        <v>122</v>
      </c>
      <c r="K160" s="2">
        <v>11.51</v>
      </c>
      <c r="L160" s="2">
        <v>100</v>
      </c>
      <c r="M160" s="1" t="s">
        <v>277</v>
      </c>
      <c r="N160" s="1" t="s">
        <v>278</v>
      </c>
      <c r="O160" s="1" t="s">
        <v>306</v>
      </c>
      <c r="P160" s="8" t="s">
        <v>278</v>
      </c>
    </row>
    <row r="161" spans="1:16" ht="30.35" x14ac:dyDescent="0.5">
      <c r="A161" s="6" t="s">
        <v>243</v>
      </c>
      <c r="B161" s="1" t="s">
        <v>244</v>
      </c>
      <c r="C161" s="1" t="s">
        <v>245</v>
      </c>
      <c r="D161" s="1" t="s">
        <v>246</v>
      </c>
      <c r="E161" s="1" t="s">
        <v>247</v>
      </c>
      <c r="F161" s="1" t="s">
        <v>262</v>
      </c>
      <c r="G161" s="1" t="s">
        <v>24</v>
      </c>
      <c r="H161" s="1" t="s">
        <v>246</v>
      </c>
      <c r="I161" s="1" t="s">
        <v>298</v>
      </c>
      <c r="J161" s="1" t="s">
        <v>124</v>
      </c>
      <c r="K161" s="2">
        <v>13.29</v>
      </c>
      <c r="L161" s="2">
        <v>100</v>
      </c>
      <c r="M161" s="1" t="s">
        <v>281</v>
      </c>
      <c r="N161" s="1" t="s">
        <v>282</v>
      </c>
      <c r="O161" s="1" t="s">
        <v>283</v>
      </c>
      <c r="P161" s="8" t="s">
        <v>284</v>
      </c>
    </row>
    <row r="162" spans="1:16" ht="30.35" x14ac:dyDescent="0.5">
      <c r="A162" s="6" t="s">
        <v>243</v>
      </c>
      <c r="B162" s="1" t="s">
        <v>244</v>
      </c>
      <c r="C162" s="1" t="s">
        <v>245</v>
      </c>
      <c r="D162" s="1" t="s">
        <v>246</v>
      </c>
      <c r="E162" s="1" t="s">
        <v>247</v>
      </c>
      <c r="F162" s="1" t="s">
        <v>262</v>
      </c>
      <c r="G162" s="1" t="s">
        <v>24</v>
      </c>
      <c r="H162" s="1" t="s">
        <v>246</v>
      </c>
      <c r="I162" s="1" t="s">
        <v>298</v>
      </c>
      <c r="J162" s="1" t="s">
        <v>125</v>
      </c>
      <c r="K162" s="2">
        <v>14.54</v>
      </c>
      <c r="L162" s="2">
        <v>100</v>
      </c>
      <c r="M162" s="1" t="s">
        <v>281</v>
      </c>
      <c r="N162" s="1" t="s">
        <v>282</v>
      </c>
      <c r="O162" s="1" t="s">
        <v>283</v>
      </c>
      <c r="P162" s="8" t="s">
        <v>284</v>
      </c>
    </row>
    <row r="163" spans="1:16" ht="15.35" x14ac:dyDescent="0.5">
      <c r="A163" s="6" t="s">
        <v>243</v>
      </c>
      <c r="B163" s="1" t="s">
        <v>244</v>
      </c>
      <c r="C163" s="1" t="s">
        <v>245</v>
      </c>
      <c r="D163" s="1" t="s">
        <v>246</v>
      </c>
      <c r="E163" s="1" t="s">
        <v>247</v>
      </c>
      <c r="F163" s="1" t="s">
        <v>262</v>
      </c>
      <c r="G163" s="1" t="s">
        <v>24</v>
      </c>
      <c r="H163" s="1" t="s">
        <v>246</v>
      </c>
      <c r="I163" s="1" t="s">
        <v>298</v>
      </c>
      <c r="J163" s="1" t="s">
        <v>126</v>
      </c>
      <c r="K163" s="2">
        <v>14.78</v>
      </c>
      <c r="L163" s="2">
        <v>100</v>
      </c>
      <c r="M163" s="1" t="s">
        <v>277</v>
      </c>
      <c r="N163" s="1" t="s">
        <v>278</v>
      </c>
      <c r="O163" s="1" t="s">
        <v>306</v>
      </c>
      <c r="P163" s="8" t="s">
        <v>278</v>
      </c>
    </row>
    <row r="164" spans="1:16" ht="15.35" x14ac:dyDescent="0.5">
      <c r="A164" s="6" t="s">
        <v>243</v>
      </c>
      <c r="B164" s="1" t="s">
        <v>244</v>
      </c>
      <c r="C164" s="1" t="s">
        <v>245</v>
      </c>
      <c r="D164" s="1" t="s">
        <v>246</v>
      </c>
      <c r="E164" s="1" t="s">
        <v>247</v>
      </c>
      <c r="F164" s="1" t="s">
        <v>262</v>
      </c>
      <c r="G164" s="1" t="s">
        <v>24</v>
      </c>
      <c r="H164" s="1" t="s">
        <v>246</v>
      </c>
      <c r="I164" s="1" t="s">
        <v>298</v>
      </c>
      <c r="J164" s="1" t="s">
        <v>127</v>
      </c>
      <c r="K164" s="2">
        <v>14.46</v>
      </c>
      <c r="L164" s="2">
        <v>100</v>
      </c>
      <c r="M164" s="1" t="s">
        <v>277</v>
      </c>
      <c r="N164" s="1" t="s">
        <v>278</v>
      </c>
      <c r="O164" s="1" t="s">
        <v>306</v>
      </c>
      <c r="P164" s="8" t="s">
        <v>278</v>
      </c>
    </row>
    <row r="165" spans="1:16" ht="15.35" x14ac:dyDescent="0.5">
      <c r="A165" s="6" t="s">
        <v>243</v>
      </c>
      <c r="B165" s="1" t="s">
        <v>244</v>
      </c>
      <c r="C165" s="1" t="s">
        <v>245</v>
      </c>
      <c r="D165" s="1" t="s">
        <v>246</v>
      </c>
      <c r="E165" s="1" t="s">
        <v>247</v>
      </c>
      <c r="F165" s="1" t="s">
        <v>262</v>
      </c>
      <c r="G165" s="1" t="s">
        <v>24</v>
      </c>
      <c r="H165" s="1" t="s">
        <v>246</v>
      </c>
      <c r="I165" s="1" t="s">
        <v>298</v>
      </c>
      <c r="J165" s="1" t="s">
        <v>128</v>
      </c>
      <c r="K165" s="2">
        <v>14.46</v>
      </c>
      <c r="L165" s="2">
        <v>100</v>
      </c>
      <c r="M165" s="1" t="s">
        <v>277</v>
      </c>
      <c r="N165" s="1" t="s">
        <v>278</v>
      </c>
      <c r="O165" s="1" t="s">
        <v>306</v>
      </c>
      <c r="P165" s="8" t="s">
        <v>278</v>
      </c>
    </row>
    <row r="166" spans="1:16" ht="15.35" x14ac:dyDescent="0.5">
      <c r="A166" s="7" t="s">
        <v>243</v>
      </c>
      <c r="B166" s="3" t="s">
        <v>244</v>
      </c>
      <c r="C166" s="3" t="s">
        <v>245</v>
      </c>
      <c r="D166" s="3" t="s">
        <v>246</v>
      </c>
      <c r="E166" s="3" t="s">
        <v>247</v>
      </c>
      <c r="F166" s="3" t="s">
        <v>262</v>
      </c>
      <c r="G166" s="3" t="s">
        <v>24</v>
      </c>
      <c r="H166" s="3" t="s">
        <v>246</v>
      </c>
      <c r="I166" s="3" t="s">
        <v>298</v>
      </c>
      <c r="J166" s="3" t="s">
        <v>129</v>
      </c>
      <c r="K166" s="4">
        <v>14.46</v>
      </c>
      <c r="L166" s="4">
        <v>100</v>
      </c>
      <c r="M166" s="3" t="s">
        <v>277</v>
      </c>
      <c r="N166" s="3" t="s">
        <v>278</v>
      </c>
      <c r="O166" s="5" t="s">
        <v>279</v>
      </c>
      <c r="P166" s="9" t="s">
        <v>280</v>
      </c>
    </row>
    <row r="167" spans="1:16" ht="15.35" x14ac:dyDescent="0.5">
      <c r="A167" s="6" t="s">
        <v>243</v>
      </c>
      <c r="B167" s="1" t="s">
        <v>244</v>
      </c>
      <c r="C167" s="1" t="s">
        <v>245</v>
      </c>
      <c r="D167" s="1" t="s">
        <v>246</v>
      </c>
      <c r="E167" s="1" t="s">
        <v>247</v>
      </c>
      <c r="F167" s="1" t="s">
        <v>262</v>
      </c>
      <c r="G167" s="1" t="s">
        <v>24</v>
      </c>
      <c r="H167" s="1" t="s">
        <v>246</v>
      </c>
      <c r="I167" s="1" t="s">
        <v>298</v>
      </c>
      <c r="J167" s="1" t="s">
        <v>130</v>
      </c>
      <c r="K167" s="2">
        <v>14.46</v>
      </c>
      <c r="L167" s="2">
        <v>100</v>
      </c>
      <c r="M167" s="1" t="s">
        <v>277</v>
      </c>
      <c r="N167" s="1" t="s">
        <v>278</v>
      </c>
      <c r="O167" s="1" t="s">
        <v>306</v>
      </c>
      <c r="P167" s="8" t="s">
        <v>278</v>
      </c>
    </row>
    <row r="168" spans="1:16" ht="15.35" x14ac:dyDescent="0.5">
      <c r="A168" s="7" t="s">
        <v>243</v>
      </c>
      <c r="B168" s="3" t="s">
        <v>244</v>
      </c>
      <c r="C168" s="3" t="s">
        <v>245</v>
      </c>
      <c r="D168" s="3" t="s">
        <v>246</v>
      </c>
      <c r="E168" s="3" t="s">
        <v>247</v>
      </c>
      <c r="F168" s="3" t="s">
        <v>262</v>
      </c>
      <c r="G168" s="3" t="s">
        <v>24</v>
      </c>
      <c r="H168" s="3" t="s">
        <v>246</v>
      </c>
      <c r="I168" s="3" t="s">
        <v>298</v>
      </c>
      <c r="J168" s="3" t="s">
        <v>131</v>
      </c>
      <c r="K168" s="4">
        <v>14.78</v>
      </c>
      <c r="L168" s="4">
        <v>100</v>
      </c>
      <c r="M168" s="3" t="s">
        <v>277</v>
      </c>
      <c r="N168" s="5" t="s">
        <v>252</v>
      </c>
      <c r="O168" s="5" t="s">
        <v>291</v>
      </c>
      <c r="P168" s="9" t="s">
        <v>292</v>
      </c>
    </row>
    <row r="169" spans="1:16" ht="15.35" x14ac:dyDescent="0.5">
      <c r="A169" s="6" t="s">
        <v>243</v>
      </c>
      <c r="B169" s="1" t="s">
        <v>244</v>
      </c>
      <c r="C169" s="1" t="s">
        <v>245</v>
      </c>
      <c r="D169" s="1" t="s">
        <v>246</v>
      </c>
      <c r="E169" s="1" t="s">
        <v>247</v>
      </c>
      <c r="F169" s="1" t="s">
        <v>262</v>
      </c>
      <c r="G169" s="1" t="s">
        <v>24</v>
      </c>
      <c r="H169" s="1" t="s">
        <v>246</v>
      </c>
      <c r="I169" s="1" t="s">
        <v>298</v>
      </c>
      <c r="J169" s="1" t="s">
        <v>113</v>
      </c>
      <c r="K169" s="2">
        <v>11.05</v>
      </c>
      <c r="L169" s="2">
        <v>100</v>
      </c>
      <c r="M169" s="1" t="s">
        <v>263</v>
      </c>
      <c r="N169" s="1" t="s">
        <v>264</v>
      </c>
      <c r="O169" s="1" t="s">
        <v>255</v>
      </c>
      <c r="P169" s="8" t="s">
        <v>256</v>
      </c>
    </row>
    <row r="170" spans="1:16" ht="30.35" x14ac:dyDescent="0.5">
      <c r="A170" s="6" t="s">
        <v>243</v>
      </c>
      <c r="B170" s="1" t="s">
        <v>244</v>
      </c>
      <c r="C170" s="1" t="s">
        <v>245</v>
      </c>
      <c r="D170" s="1" t="s">
        <v>246</v>
      </c>
      <c r="E170" s="1" t="s">
        <v>247</v>
      </c>
      <c r="F170" s="1" t="s">
        <v>262</v>
      </c>
      <c r="G170" s="1" t="s">
        <v>24</v>
      </c>
      <c r="H170" s="1" t="s">
        <v>246</v>
      </c>
      <c r="I170" s="1" t="s">
        <v>298</v>
      </c>
      <c r="J170" s="1" t="s">
        <v>143</v>
      </c>
      <c r="K170" s="2">
        <v>9.8800000000000008</v>
      </c>
      <c r="L170" s="2">
        <v>100</v>
      </c>
      <c r="M170" s="1" t="s">
        <v>281</v>
      </c>
      <c r="N170" s="1" t="s">
        <v>282</v>
      </c>
      <c r="O170" s="1" t="s">
        <v>283</v>
      </c>
      <c r="P170" s="8" t="s">
        <v>284</v>
      </c>
    </row>
    <row r="171" spans="1:16" ht="15.35" x14ac:dyDescent="0.5">
      <c r="A171" s="6" t="s">
        <v>243</v>
      </c>
      <c r="B171" s="1" t="s">
        <v>244</v>
      </c>
      <c r="C171" s="1" t="s">
        <v>245</v>
      </c>
      <c r="D171" s="1" t="s">
        <v>246</v>
      </c>
      <c r="E171" s="1" t="s">
        <v>247</v>
      </c>
      <c r="F171" s="1" t="s">
        <v>262</v>
      </c>
      <c r="G171" s="1" t="s">
        <v>24</v>
      </c>
      <c r="H171" s="1" t="s">
        <v>246</v>
      </c>
      <c r="I171" s="1" t="s">
        <v>258</v>
      </c>
      <c r="J171" s="1" t="s">
        <v>156</v>
      </c>
      <c r="K171" s="2">
        <v>7.43</v>
      </c>
      <c r="L171" s="2">
        <v>100</v>
      </c>
      <c r="M171" s="1" t="s">
        <v>259</v>
      </c>
      <c r="N171" s="1" t="s">
        <v>56</v>
      </c>
      <c r="O171" s="1" t="s">
        <v>260</v>
      </c>
      <c r="P171" s="8" t="s">
        <v>261</v>
      </c>
    </row>
    <row r="172" spans="1:16" ht="15.35" x14ac:dyDescent="0.5">
      <c r="A172" s="6" t="s">
        <v>243</v>
      </c>
      <c r="B172" s="1" t="s">
        <v>244</v>
      </c>
      <c r="C172" s="1" t="s">
        <v>245</v>
      </c>
      <c r="D172" s="1" t="s">
        <v>246</v>
      </c>
      <c r="E172" s="1" t="s">
        <v>247</v>
      </c>
      <c r="F172" s="1" t="s">
        <v>262</v>
      </c>
      <c r="G172" s="1" t="s">
        <v>24</v>
      </c>
      <c r="H172" s="1" t="s">
        <v>246</v>
      </c>
      <c r="I172" s="1" t="s">
        <v>258</v>
      </c>
      <c r="J172" s="1" t="s">
        <v>158</v>
      </c>
      <c r="K172" s="2">
        <v>105.27</v>
      </c>
      <c r="L172" s="2">
        <v>100</v>
      </c>
      <c r="M172" s="1" t="s">
        <v>259</v>
      </c>
      <c r="N172" s="1" t="s">
        <v>56</v>
      </c>
      <c r="O172" s="1" t="s">
        <v>260</v>
      </c>
      <c r="P172" s="8" t="s">
        <v>261</v>
      </c>
    </row>
    <row r="173" spans="1:16" ht="15.35" x14ac:dyDescent="0.5">
      <c r="A173" s="6" t="s">
        <v>243</v>
      </c>
      <c r="B173" s="1" t="s">
        <v>244</v>
      </c>
      <c r="C173" s="1" t="s">
        <v>245</v>
      </c>
      <c r="D173" s="1" t="s">
        <v>246</v>
      </c>
      <c r="E173" s="1" t="s">
        <v>247</v>
      </c>
      <c r="F173" s="1" t="s">
        <v>262</v>
      </c>
      <c r="G173" s="1" t="s">
        <v>24</v>
      </c>
      <c r="H173" s="1" t="s">
        <v>246</v>
      </c>
      <c r="I173" s="1" t="s">
        <v>258</v>
      </c>
      <c r="J173" s="1" t="s">
        <v>160</v>
      </c>
      <c r="K173" s="2">
        <v>3.07</v>
      </c>
      <c r="L173" s="2">
        <v>100</v>
      </c>
      <c r="M173" s="1" t="s">
        <v>259</v>
      </c>
      <c r="N173" s="1" t="s">
        <v>56</v>
      </c>
      <c r="O173" s="1" t="s">
        <v>260</v>
      </c>
      <c r="P173" s="8" t="s">
        <v>261</v>
      </c>
    </row>
    <row r="174" spans="1:16" ht="15.35" x14ac:dyDescent="0.5">
      <c r="A174" s="6" t="s">
        <v>243</v>
      </c>
      <c r="B174" s="1" t="s">
        <v>244</v>
      </c>
      <c r="C174" s="1" t="s">
        <v>245</v>
      </c>
      <c r="D174" s="1" t="s">
        <v>246</v>
      </c>
      <c r="E174" s="1" t="s">
        <v>247</v>
      </c>
      <c r="F174" s="1" t="s">
        <v>262</v>
      </c>
      <c r="G174" s="1" t="s">
        <v>24</v>
      </c>
      <c r="H174" s="1" t="s">
        <v>246</v>
      </c>
      <c r="I174" s="1" t="s">
        <v>258</v>
      </c>
      <c r="J174" s="1" t="s">
        <v>155</v>
      </c>
      <c r="K174" s="2">
        <v>12.94</v>
      </c>
      <c r="L174" s="2">
        <v>100</v>
      </c>
      <c r="M174" s="1" t="s">
        <v>251</v>
      </c>
      <c r="N174" s="1" t="s">
        <v>252</v>
      </c>
      <c r="O174" s="1" t="s">
        <v>316</v>
      </c>
      <c r="P174" s="8" t="s">
        <v>317</v>
      </c>
    </row>
    <row r="175" spans="1:16" ht="15.35" x14ac:dyDescent="0.5">
      <c r="A175" s="6" t="s">
        <v>243</v>
      </c>
      <c r="B175" s="1" t="s">
        <v>244</v>
      </c>
      <c r="C175" s="1" t="s">
        <v>245</v>
      </c>
      <c r="D175" s="1" t="s">
        <v>246</v>
      </c>
      <c r="E175" s="1" t="s">
        <v>247</v>
      </c>
      <c r="F175" s="1" t="s">
        <v>262</v>
      </c>
      <c r="G175" s="1" t="s">
        <v>24</v>
      </c>
      <c r="H175" s="1" t="s">
        <v>246</v>
      </c>
      <c r="I175" s="1" t="s">
        <v>258</v>
      </c>
      <c r="J175" s="1" t="s">
        <v>168</v>
      </c>
      <c r="K175" s="2">
        <v>23.95</v>
      </c>
      <c r="L175" s="2">
        <v>100</v>
      </c>
      <c r="M175" s="1" t="s">
        <v>310</v>
      </c>
      <c r="N175" s="1" t="s">
        <v>311</v>
      </c>
      <c r="O175" s="1" t="s">
        <v>308</v>
      </c>
      <c r="P175" s="8" t="s">
        <v>309</v>
      </c>
    </row>
    <row r="176" spans="1:16" ht="30.35" x14ac:dyDescent="0.5">
      <c r="A176" s="6" t="s">
        <v>243</v>
      </c>
      <c r="B176" s="1" t="s">
        <v>244</v>
      </c>
      <c r="C176" s="1" t="s">
        <v>245</v>
      </c>
      <c r="D176" s="1" t="s">
        <v>246</v>
      </c>
      <c r="E176" s="1" t="s">
        <v>247</v>
      </c>
      <c r="F176" s="1" t="s">
        <v>262</v>
      </c>
      <c r="G176" s="1" t="s">
        <v>24</v>
      </c>
      <c r="H176" s="1" t="s">
        <v>246</v>
      </c>
      <c r="I176" s="1" t="s">
        <v>258</v>
      </c>
      <c r="J176" s="1" t="s">
        <v>159</v>
      </c>
      <c r="K176" s="2">
        <v>87.65</v>
      </c>
      <c r="L176" s="2">
        <v>100</v>
      </c>
      <c r="M176" s="1" t="s">
        <v>285</v>
      </c>
      <c r="N176" s="1" t="s">
        <v>286</v>
      </c>
      <c r="O176" s="1" t="s">
        <v>287</v>
      </c>
      <c r="P176" s="8" t="s">
        <v>288</v>
      </c>
    </row>
    <row r="177" spans="1:16" ht="15.35" x14ac:dyDescent="0.5">
      <c r="A177" s="6" t="s">
        <v>243</v>
      </c>
      <c r="B177" s="1" t="s">
        <v>244</v>
      </c>
      <c r="C177" s="1" t="s">
        <v>245</v>
      </c>
      <c r="D177" s="1" t="s">
        <v>246</v>
      </c>
      <c r="E177" s="1" t="s">
        <v>247</v>
      </c>
      <c r="F177" s="1" t="s">
        <v>262</v>
      </c>
      <c r="G177" s="1" t="s">
        <v>24</v>
      </c>
      <c r="H177" s="1" t="s">
        <v>246</v>
      </c>
      <c r="I177" s="1" t="s">
        <v>258</v>
      </c>
      <c r="J177" s="1" t="s">
        <v>174</v>
      </c>
      <c r="K177" s="2">
        <v>99.05</v>
      </c>
      <c r="L177" s="2">
        <v>100</v>
      </c>
      <c r="M177" s="1" t="s">
        <v>310</v>
      </c>
      <c r="N177" s="1" t="s">
        <v>311</v>
      </c>
      <c r="O177" s="1" t="s">
        <v>321</v>
      </c>
      <c r="P177" s="8" t="s">
        <v>322</v>
      </c>
    </row>
    <row r="178" spans="1:16" ht="15.35" x14ac:dyDescent="0.5">
      <c r="A178" s="6" t="s">
        <v>243</v>
      </c>
      <c r="B178" s="1" t="s">
        <v>244</v>
      </c>
      <c r="C178" s="1" t="s">
        <v>245</v>
      </c>
      <c r="D178" s="1" t="s">
        <v>246</v>
      </c>
      <c r="E178" s="1" t="s">
        <v>247</v>
      </c>
      <c r="F178" s="1" t="s">
        <v>262</v>
      </c>
      <c r="G178" s="1" t="s">
        <v>24</v>
      </c>
      <c r="H178" s="1" t="s">
        <v>246</v>
      </c>
      <c r="I178" s="1" t="s">
        <v>258</v>
      </c>
      <c r="J178" s="1" t="s">
        <v>163</v>
      </c>
      <c r="K178" s="2">
        <v>16.53</v>
      </c>
      <c r="L178" s="2">
        <v>100</v>
      </c>
      <c r="M178" s="1" t="s">
        <v>269</v>
      </c>
      <c r="N178" s="1" t="s">
        <v>270</v>
      </c>
      <c r="O178" s="1" t="s">
        <v>271</v>
      </c>
      <c r="P178" s="8" t="s">
        <v>272</v>
      </c>
    </row>
    <row r="179" spans="1:16" ht="15.35" x14ac:dyDescent="0.5">
      <c r="A179" s="6" t="s">
        <v>243</v>
      </c>
      <c r="B179" s="1" t="s">
        <v>244</v>
      </c>
      <c r="C179" s="1" t="s">
        <v>245</v>
      </c>
      <c r="D179" s="1" t="s">
        <v>246</v>
      </c>
      <c r="E179" s="1" t="s">
        <v>247</v>
      </c>
      <c r="F179" s="1" t="s">
        <v>262</v>
      </c>
      <c r="G179" s="1" t="s">
        <v>24</v>
      </c>
      <c r="H179" s="1" t="s">
        <v>246</v>
      </c>
      <c r="I179" s="1" t="s">
        <v>258</v>
      </c>
      <c r="J179" s="1" t="s">
        <v>165</v>
      </c>
      <c r="K179" s="2">
        <v>10.210000000000001</v>
      </c>
      <c r="L179" s="2">
        <v>100</v>
      </c>
      <c r="M179" s="1" t="s">
        <v>269</v>
      </c>
      <c r="N179" s="1" t="s">
        <v>270</v>
      </c>
      <c r="O179" s="1" t="s">
        <v>271</v>
      </c>
      <c r="P179" s="8" t="s">
        <v>272</v>
      </c>
    </row>
    <row r="180" spans="1:16" ht="15.35" x14ac:dyDescent="0.5">
      <c r="A180" s="6" t="s">
        <v>243</v>
      </c>
      <c r="B180" s="1" t="s">
        <v>244</v>
      </c>
      <c r="C180" s="1" t="s">
        <v>245</v>
      </c>
      <c r="D180" s="1" t="s">
        <v>246</v>
      </c>
      <c r="E180" s="1" t="s">
        <v>247</v>
      </c>
      <c r="F180" s="1" t="s">
        <v>262</v>
      </c>
      <c r="G180" s="1" t="s">
        <v>24</v>
      </c>
      <c r="H180" s="1" t="s">
        <v>246</v>
      </c>
      <c r="I180" s="1" t="s">
        <v>258</v>
      </c>
      <c r="J180" s="1" t="s">
        <v>167</v>
      </c>
      <c r="K180" s="2">
        <v>16.64</v>
      </c>
      <c r="L180" s="2">
        <v>100</v>
      </c>
      <c r="M180" s="1" t="s">
        <v>251</v>
      </c>
      <c r="N180" s="1" t="s">
        <v>252</v>
      </c>
      <c r="O180" s="1" t="s">
        <v>291</v>
      </c>
      <c r="P180" s="8" t="s">
        <v>292</v>
      </c>
    </row>
    <row r="181" spans="1:16" ht="15.35" x14ac:dyDescent="0.5">
      <c r="A181" s="7" t="s">
        <v>243</v>
      </c>
      <c r="B181" s="3" t="s">
        <v>244</v>
      </c>
      <c r="C181" s="3" t="s">
        <v>245</v>
      </c>
      <c r="D181" s="3" t="s">
        <v>246</v>
      </c>
      <c r="E181" s="3" t="s">
        <v>247</v>
      </c>
      <c r="F181" s="3" t="s">
        <v>262</v>
      </c>
      <c r="G181" s="3" t="s">
        <v>24</v>
      </c>
      <c r="H181" s="3" t="s">
        <v>246</v>
      </c>
      <c r="I181" s="3" t="s">
        <v>258</v>
      </c>
      <c r="J181" s="3" t="s">
        <v>169</v>
      </c>
      <c r="K181" s="4">
        <v>23.6</v>
      </c>
      <c r="L181" s="4">
        <v>100</v>
      </c>
      <c r="M181" s="3" t="s">
        <v>277</v>
      </c>
      <c r="N181" s="3" t="s">
        <v>278</v>
      </c>
      <c r="O181" s="3" t="s">
        <v>306</v>
      </c>
      <c r="P181" s="10" t="s">
        <v>278</v>
      </c>
    </row>
    <row r="182" spans="1:16" ht="15.35" x14ac:dyDescent="0.5">
      <c r="A182" s="6" t="s">
        <v>243</v>
      </c>
      <c r="B182" s="1" t="s">
        <v>244</v>
      </c>
      <c r="C182" s="1" t="s">
        <v>245</v>
      </c>
      <c r="D182" s="1" t="s">
        <v>246</v>
      </c>
      <c r="E182" s="1" t="s">
        <v>247</v>
      </c>
      <c r="F182" s="1" t="s">
        <v>262</v>
      </c>
      <c r="G182" s="1" t="s">
        <v>24</v>
      </c>
      <c r="H182" s="1" t="s">
        <v>246</v>
      </c>
      <c r="I182" s="1" t="s">
        <v>312</v>
      </c>
      <c r="J182" s="1" t="s">
        <v>180</v>
      </c>
      <c r="K182" s="2">
        <v>15.21</v>
      </c>
      <c r="L182" s="2">
        <v>100</v>
      </c>
      <c r="M182" s="1" t="s">
        <v>273</v>
      </c>
      <c r="N182" s="1" t="s">
        <v>274</v>
      </c>
      <c r="O182" s="1" t="s">
        <v>275</v>
      </c>
      <c r="P182" s="8" t="s">
        <v>276</v>
      </c>
    </row>
    <row r="183" spans="1:16" ht="15.35" x14ac:dyDescent="0.5">
      <c r="A183" s="6" t="s">
        <v>243</v>
      </c>
      <c r="B183" s="1" t="s">
        <v>244</v>
      </c>
      <c r="C183" s="1" t="s">
        <v>245</v>
      </c>
      <c r="D183" s="1" t="s">
        <v>246</v>
      </c>
      <c r="E183" s="1" t="s">
        <v>247</v>
      </c>
      <c r="F183" s="1" t="s">
        <v>262</v>
      </c>
      <c r="G183" s="1" t="s">
        <v>24</v>
      </c>
      <c r="H183" s="1" t="s">
        <v>246</v>
      </c>
      <c r="I183" s="1" t="s">
        <v>312</v>
      </c>
      <c r="J183" s="1" t="s">
        <v>187</v>
      </c>
      <c r="K183" s="2">
        <v>103.4</v>
      </c>
      <c r="L183" s="2">
        <v>100</v>
      </c>
      <c r="M183" s="1" t="s">
        <v>259</v>
      </c>
      <c r="N183" s="1" t="s">
        <v>56</v>
      </c>
      <c r="O183" s="1" t="s">
        <v>260</v>
      </c>
      <c r="P183" s="8" t="s">
        <v>261</v>
      </c>
    </row>
    <row r="184" spans="1:16" ht="15.35" x14ac:dyDescent="0.5">
      <c r="A184" s="6" t="s">
        <v>243</v>
      </c>
      <c r="B184" s="1" t="s">
        <v>244</v>
      </c>
      <c r="C184" s="1" t="s">
        <v>245</v>
      </c>
      <c r="D184" s="1" t="s">
        <v>246</v>
      </c>
      <c r="E184" s="1" t="s">
        <v>247</v>
      </c>
      <c r="F184" s="1" t="s">
        <v>262</v>
      </c>
      <c r="G184" s="1" t="s">
        <v>24</v>
      </c>
      <c r="H184" s="1" t="s">
        <v>246</v>
      </c>
      <c r="I184" s="1" t="s">
        <v>312</v>
      </c>
      <c r="J184" s="1" t="s">
        <v>189</v>
      </c>
      <c r="K184" s="2">
        <v>11.78</v>
      </c>
      <c r="L184" s="2">
        <v>100</v>
      </c>
      <c r="M184" s="1" t="s">
        <v>259</v>
      </c>
      <c r="N184" s="1" t="s">
        <v>56</v>
      </c>
      <c r="O184" s="1" t="s">
        <v>260</v>
      </c>
      <c r="P184" s="8" t="s">
        <v>261</v>
      </c>
    </row>
    <row r="185" spans="1:16" ht="15.35" x14ac:dyDescent="0.5">
      <c r="A185" s="6" t="s">
        <v>243</v>
      </c>
      <c r="B185" s="1" t="s">
        <v>244</v>
      </c>
      <c r="C185" s="1" t="s">
        <v>245</v>
      </c>
      <c r="D185" s="1" t="s">
        <v>246</v>
      </c>
      <c r="E185" s="1" t="s">
        <v>247</v>
      </c>
      <c r="F185" s="1" t="s">
        <v>262</v>
      </c>
      <c r="G185" s="1" t="s">
        <v>24</v>
      </c>
      <c r="H185" s="1" t="s">
        <v>246</v>
      </c>
      <c r="I185" s="1" t="s">
        <v>312</v>
      </c>
      <c r="J185" s="1" t="s">
        <v>191</v>
      </c>
      <c r="K185" s="2">
        <v>51.19</v>
      </c>
      <c r="L185" s="2">
        <v>100</v>
      </c>
      <c r="M185" s="1" t="s">
        <v>259</v>
      </c>
      <c r="N185" s="1" t="s">
        <v>56</v>
      </c>
      <c r="O185" s="1" t="s">
        <v>260</v>
      </c>
      <c r="P185" s="8" t="s">
        <v>261</v>
      </c>
    </row>
    <row r="186" spans="1:16" ht="30.35" x14ac:dyDescent="0.5">
      <c r="A186" s="6" t="s">
        <v>243</v>
      </c>
      <c r="B186" s="1" t="s">
        <v>244</v>
      </c>
      <c r="C186" s="1" t="s">
        <v>245</v>
      </c>
      <c r="D186" s="1" t="s">
        <v>246</v>
      </c>
      <c r="E186" s="1" t="s">
        <v>247</v>
      </c>
      <c r="F186" s="1" t="s">
        <v>262</v>
      </c>
      <c r="G186" s="1" t="s">
        <v>24</v>
      </c>
      <c r="H186" s="1" t="s">
        <v>246</v>
      </c>
      <c r="I186" s="1" t="s">
        <v>312</v>
      </c>
      <c r="J186" s="1" t="s">
        <v>181</v>
      </c>
      <c r="K186" s="2">
        <v>12.95</v>
      </c>
      <c r="L186" s="2">
        <v>100</v>
      </c>
      <c r="M186" s="1" t="s">
        <v>285</v>
      </c>
      <c r="N186" s="1" t="s">
        <v>286</v>
      </c>
      <c r="O186" s="1" t="s">
        <v>296</v>
      </c>
      <c r="P186" s="8" t="s">
        <v>297</v>
      </c>
    </row>
    <row r="187" spans="1:16" ht="15.35" x14ac:dyDescent="0.5">
      <c r="A187" s="6" t="s">
        <v>243</v>
      </c>
      <c r="B187" s="1" t="s">
        <v>244</v>
      </c>
      <c r="C187" s="1" t="s">
        <v>245</v>
      </c>
      <c r="D187" s="1" t="s">
        <v>246</v>
      </c>
      <c r="E187" s="1" t="s">
        <v>247</v>
      </c>
      <c r="F187" s="1" t="s">
        <v>262</v>
      </c>
      <c r="G187" s="1" t="s">
        <v>24</v>
      </c>
      <c r="H187" s="1" t="s">
        <v>246</v>
      </c>
      <c r="I187" s="1" t="s">
        <v>312</v>
      </c>
      <c r="J187" s="1" t="s">
        <v>192</v>
      </c>
      <c r="K187" s="2">
        <v>11.16</v>
      </c>
      <c r="L187" s="2">
        <v>100</v>
      </c>
      <c r="M187" s="1" t="s">
        <v>259</v>
      </c>
      <c r="N187" s="1" t="s">
        <v>56</v>
      </c>
      <c r="O187" s="1" t="s">
        <v>260</v>
      </c>
      <c r="P187" s="8" t="s">
        <v>261</v>
      </c>
    </row>
    <row r="188" spans="1:16" ht="15.35" x14ac:dyDescent="0.5">
      <c r="A188" s="6" t="s">
        <v>243</v>
      </c>
      <c r="B188" s="1" t="s">
        <v>244</v>
      </c>
      <c r="C188" s="1" t="s">
        <v>245</v>
      </c>
      <c r="D188" s="1" t="s">
        <v>246</v>
      </c>
      <c r="E188" s="1" t="s">
        <v>247</v>
      </c>
      <c r="F188" s="1" t="s">
        <v>262</v>
      </c>
      <c r="G188" s="1" t="s">
        <v>24</v>
      </c>
      <c r="H188" s="1" t="s">
        <v>246</v>
      </c>
      <c r="I188" s="1" t="s">
        <v>312</v>
      </c>
      <c r="J188" s="1" t="s">
        <v>194</v>
      </c>
      <c r="K188" s="2">
        <v>85.72</v>
      </c>
      <c r="L188" s="2">
        <v>100</v>
      </c>
      <c r="M188" s="1" t="s">
        <v>310</v>
      </c>
      <c r="N188" s="1" t="s">
        <v>311</v>
      </c>
      <c r="O188" s="1" t="s">
        <v>308</v>
      </c>
      <c r="P188" s="8" t="s">
        <v>309</v>
      </c>
    </row>
    <row r="189" spans="1:16" ht="15.35" x14ac:dyDescent="0.5">
      <c r="A189" s="6" t="s">
        <v>243</v>
      </c>
      <c r="B189" s="1" t="s">
        <v>244</v>
      </c>
      <c r="C189" s="1" t="s">
        <v>245</v>
      </c>
      <c r="D189" s="1" t="s">
        <v>246</v>
      </c>
      <c r="E189" s="1" t="s">
        <v>247</v>
      </c>
      <c r="F189" s="1" t="s">
        <v>262</v>
      </c>
      <c r="G189" s="1" t="s">
        <v>24</v>
      </c>
      <c r="H189" s="1" t="s">
        <v>246</v>
      </c>
      <c r="I189" s="1" t="s">
        <v>312</v>
      </c>
      <c r="J189" s="1" t="s">
        <v>197</v>
      </c>
      <c r="K189" s="2">
        <v>10.08</v>
      </c>
      <c r="L189" s="2">
        <v>100</v>
      </c>
      <c r="M189" s="1" t="s">
        <v>310</v>
      </c>
      <c r="N189" s="1" t="s">
        <v>311</v>
      </c>
      <c r="O189" s="1" t="s">
        <v>308</v>
      </c>
      <c r="P189" s="8" t="s">
        <v>309</v>
      </c>
    </row>
    <row r="190" spans="1:16" ht="15.35" x14ac:dyDescent="0.5">
      <c r="A190" s="6" t="s">
        <v>243</v>
      </c>
      <c r="B190" s="1" t="s">
        <v>244</v>
      </c>
      <c r="C190" s="1" t="s">
        <v>245</v>
      </c>
      <c r="D190" s="1" t="s">
        <v>246</v>
      </c>
      <c r="E190" s="1" t="s">
        <v>247</v>
      </c>
      <c r="F190" s="1" t="s">
        <v>262</v>
      </c>
      <c r="G190" s="1" t="s">
        <v>24</v>
      </c>
      <c r="H190" s="1" t="s">
        <v>246</v>
      </c>
      <c r="I190" s="1" t="s">
        <v>312</v>
      </c>
      <c r="J190" s="1" t="s">
        <v>198</v>
      </c>
      <c r="K190" s="2">
        <v>6.69</v>
      </c>
      <c r="L190" s="2">
        <v>100</v>
      </c>
      <c r="M190" s="1" t="s">
        <v>310</v>
      </c>
      <c r="N190" s="1" t="s">
        <v>311</v>
      </c>
      <c r="O190" s="1" t="s">
        <v>308</v>
      </c>
      <c r="P190" s="8" t="s">
        <v>309</v>
      </c>
    </row>
    <row r="191" spans="1:16" ht="15.35" x14ac:dyDescent="0.5">
      <c r="A191" s="6" t="s">
        <v>243</v>
      </c>
      <c r="B191" s="1" t="s">
        <v>244</v>
      </c>
      <c r="C191" s="1" t="s">
        <v>245</v>
      </c>
      <c r="D191" s="1" t="s">
        <v>246</v>
      </c>
      <c r="E191" s="1" t="s">
        <v>247</v>
      </c>
      <c r="F191" s="1" t="s">
        <v>262</v>
      </c>
      <c r="G191" s="1" t="s">
        <v>24</v>
      </c>
      <c r="H191" s="1" t="s">
        <v>246</v>
      </c>
      <c r="I191" s="1" t="s">
        <v>312</v>
      </c>
      <c r="J191" s="1" t="s">
        <v>199</v>
      </c>
      <c r="K191" s="2">
        <v>6.69</v>
      </c>
      <c r="L191" s="2">
        <v>100</v>
      </c>
      <c r="M191" s="1" t="s">
        <v>310</v>
      </c>
      <c r="N191" s="1" t="s">
        <v>311</v>
      </c>
      <c r="O191" s="1" t="s">
        <v>308</v>
      </c>
      <c r="P191" s="8" t="s">
        <v>309</v>
      </c>
    </row>
    <row r="192" spans="1:16" ht="15.35" x14ac:dyDescent="0.5">
      <c r="A192" s="6" t="s">
        <v>243</v>
      </c>
      <c r="B192" s="1" t="s">
        <v>244</v>
      </c>
      <c r="C192" s="1" t="s">
        <v>245</v>
      </c>
      <c r="D192" s="1" t="s">
        <v>246</v>
      </c>
      <c r="E192" s="1" t="s">
        <v>247</v>
      </c>
      <c r="F192" s="1" t="s">
        <v>262</v>
      </c>
      <c r="G192" s="1" t="s">
        <v>24</v>
      </c>
      <c r="H192" s="1" t="s">
        <v>246</v>
      </c>
      <c r="I192" s="1" t="s">
        <v>312</v>
      </c>
      <c r="J192" s="1" t="s">
        <v>201</v>
      </c>
      <c r="K192" s="2">
        <v>78.42</v>
      </c>
      <c r="L192" s="2">
        <v>100</v>
      </c>
      <c r="M192" s="1" t="s">
        <v>310</v>
      </c>
      <c r="N192" s="1" t="s">
        <v>311</v>
      </c>
      <c r="O192" s="1" t="s">
        <v>308</v>
      </c>
      <c r="P192" s="8" t="s">
        <v>309</v>
      </c>
    </row>
    <row r="193" spans="1:16" ht="15.35" x14ac:dyDescent="0.5">
      <c r="A193" s="6" t="s">
        <v>243</v>
      </c>
      <c r="B193" s="1" t="s">
        <v>244</v>
      </c>
      <c r="C193" s="1" t="s">
        <v>245</v>
      </c>
      <c r="D193" s="1" t="s">
        <v>246</v>
      </c>
      <c r="E193" s="1" t="s">
        <v>247</v>
      </c>
      <c r="F193" s="1" t="s">
        <v>262</v>
      </c>
      <c r="G193" s="1" t="s">
        <v>24</v>
      </c>
      <c r="H193" s="1" t="s">
        <v>246</v>
      </c>
      <c r="I193" s="1" t="s">
        <v>312</v>
      </c>
      <c r="J193" s="1" t="s">
        <v>203</v>
      </c>
      <c r="K193" s="2">
        <v>2.82</v>
      </c>
      <c r="L193" s="2">
        <v>100</v>
      </c>
      <c r="M193" s="1" t="s">
        <v>310</v>
      </c>
      <c r="N193" s="1" t="s">
        <v>311</v>
      </c>
      <c r="O193" s="1" t="s">
        <v>308</v>
      </c>
      <c r="P193" s="8" t="s">
        <v>309</v>
      </c>
    </row>
    <row r="194" spans="1:16" ht="15.35" x14ac:dyDescent="0.5">
      <c r="A194" s="6" t="s">
        <v>243</v>
      </c>
      <c r="B194" s="1" t="s">
        <v>244</v>
      </c>
      <c r="C194" s="1" t="s">
        <v>245</v>
      </c>
      <c r="D194" s="1" t="s">
        <v>246</v>
      </c>
      <c r="E194" s="1" t="s">
        <v>247</v>
      </c>
      <c r="F194" s="1" t="s">
        <v>262</v>
      </c>
      <c r="G194" s="1" t="s">
        <v>24</v>
      </c>
      <c r="H194" s="1" t="s">
        <v>246</v>
      </c>
      <c r="I194" s="1" t="s">
        <v>312</v>
      </c>
      <c r="J194" s="1" t="s">
        <v>204</v>
      </c>
      <c r="K194" s="2">
        <v>7.21</v>
      </c>
      <c r="L194" s="2">
        <v>100</v>
      </c>
      <c r="M194" s="1" t="s">
        <v>310</v>
      </c>
      <c r="N194" s="1" t="s">
        <v>311</v>
      </c>
      <c r="O194" s="1" t="s">
        <v>308</v>
      </c>
      <c r="P194" s="8" t="s">
        <v>309</v>
      </c>
    </row>
    <row r="195" spans="1:16" ht="15.35" x14ac:dyDescent="0.5">
      <c r="A195" s="6" t="s">
        <v>243</v>
      </c>
      <c r="B195" s="1" t="s">
        <v>244</v>
      </c>
      <c r="C195" s="1" t="s">
        <v>245</v>
      </c>
      <c r="D195" s="1" t="s">
        <v>246</v>
      </c>
      <c r="E195" s="1" t="s">
        <v>247</v>
      </c>
      <c r="F195" s="1" t="s">
        <v>262</v>
      </c>
      <c r="G195" s="1" t="s">
        <v>24</v>
      </c>
      <c r="H195" s="1" t="s">
        <v>246</v>
      </c>
      <c r="I195" s="1" t="s">
        <v>312</v>
      </c>
      <c r="J195" s="1" t="s">
        <v>205</v>
      </c>
      <c r="K195" s="2">
        <v>51.65</v>
      </c>
      <c r="L195" s="2">
        <v>100</v>
      </c>
      <c r="M195" s="1" t="s">
        <v>310</v>
      </c>
      <c r="N195" s="1" t="s">
        <v>311</v>
      </c>
      <c r="O195" s="1" t="s">
        <v>308</v>
      </c>
      <c r="P195" s="8" t="s">
        <v>309</v>
      </c>
    </row>
    <row r="196" spans="1:16" ht="15.35" x14ac:dyDescent="0.5">
      <c r="A196" s="6" t="s">
        <v>243</v>
      </c>
      <c r="B196" s="1" t="s">
        <v>244</v>
      </c>
      <c r="C196" s="1" t="s">
        <v>245</v>
      </c>
      <c r="D196" s="1" t="s">
        <v>246</v>
      </c>
      <c r="E196" s="1" t="s">
        <v>247</v>
      </c>
      <c r="F196" s="1" t="s">
        <v>262</v>
      </c>
      <c r="G196" s="1" t="s">
        <v>24</v>
      </c>
      <c r="H196" s="1" t="s">
        <v>246</v>
      </c>
      <c r="I196" s="1" t="s">
        <v>312</v>
      </c>
      <c r="J196" s="1" t="s">
        <v>206</v>
      </c>
      <c r="K196" s="2">
        <v>7.21</v>
      </c>
      <c r="L196" s="2">
        <v>100</v>
      </c>
      <c r="M196" s="1" t="s">
        <v>310</v>
      </c>
      <c r="N196" s="1" t="s">
        <v>311</v>
      </c>
      <c r="O196" s="1" t="s">
        <v>308</v>
      </c>
      <c r="P196" s="8" t="s">
        <v>309</v>
      </c>
    </row>
    <row r="197" spans="1:16" ht="15.35" x14ac:dyDescent="0.5">
      <c r="A197" s="6" t="s">
        <v>243</v>
      </c>
      <c r="B197" s="1" t="s">
        <v>244</v>
      </c>
      <c r="C197" s="1" t="s">
        <v>245</v>
      </c>
      <c r="D197" s="1" t="s">
        <v>246</v>
      </c>
      <c r="E197" s="1" t="s">
        <v>247</v>
      </c>
      <c r="F197" s="1" t="s">
        <v>262</v>
      </c>
      <c r="G197" s="1" t="s">
        <v>24</v>
      </c>
      <c r="H197" s="1" t="s">
        <v>246</v>
      </c>
      <c r="I197" s="1" t="s">
        <v>312</v>
      </c>
      <c r="J197" s="1" t="s">
        <v>207</v>
      </c>
      <c r="K197" s="2">
        <v>7.89</v>
      </c>
      <c r="L197" s="2">
        <v>100</v>
      </c>
      <c r="M197" s="1" t="s">
        <v>310</v>
      </c>
      <c r="N197" s="1" t="s">
        <v>311</v>
      </c>
      <c r="O197" s="1" t="s">
        <v>308</v>
      </c>
      <c r="P197" s="8" t="s">
        <v>309</v>
      </c>
    </row>
    <row r="198" spans="1:16" ht="15.35" x14ac:dyDescent="0.5">
      <c r="A198" s="6" t="s">
        <v>243</v>
      </c>
      <c r="B198" s="1" t="s">
        <v>244</v>
      </c>
      <c r="C198" s="1" t="s">
        <v>245</v>
      </c>
      <c r="D198" s="1" t="s">
        <v>246</v>
      </c>
      <c r="E198" s="1" t="s">
        <v>247</v>
      </c>
      <c r="F198" s="1" t="s">
        <v>262</v>
      </c>
      <c r="G198" s="1" t="s">
        <v>24</v>
      </c>
      <c r="H198" s="1" t="s">
        <v>246</v>
      </c>
      <c r="I198" s="1" t="s">
        <v>312</v>
      </c>
      <c r="J198" s="1" t="s">
        <v>209</v>
      </c>
      <c r="K198" s="2">
        <v>5.0199999999999996</v>
      </c>
      <c r="L198" s="2">
        <v>100</v>
      </c>
      <c r="M198" s="1" t="s">
        <v>310</v>
      </c>
      <c r="N198" s="1" t="s">
        <v>311</v>
      </c>
      <c r="O198" s="1" t="s">
        <v>308</v>
      </c>
      <c r="P198" s="8" t="s">
        <v>309</v>
      </c>
    </row>
    <row r="199" spans="1:16" ht="15.35" x14ac:dyDescent="0.5">
      <c r="A199" s="6" t="s">
        <v>243</v>
      </c>
      <c r="B199" s="1" t="s">
        <v>244</v>
      </c>
      <c r="C199" s="1" t="s">
        <v>245</v>
      </c>
      <c r="D199" s="1" t="s">
        <v>246</v>
      </c>
      <c r="E199" s="1" t="s">
        <v>247</v>
      </c>
      <c r="F199" s="1" t="s">
        <v>262</v>
      </c>
      <c r="G199" s="1" t="s">
        <v>24</v>
      </c>
      <c r="H199" s="1" t="s">
        <v>246</v>
      </c>
      <c r="I199" s="1" t="s">
        <v>312</v>
      </c>
      <c r="J199" s="1" t="s">
        <v>210</v>
      </c>
      <c r="K199" s="2">
        <v>3.02</v>
      </c>
      <c r="L199" s="2">
        <v>100</v>
      </c>
      <c r="M199" s="1" t="s">
        <v>310</v>
      </c>
      <c r="N199" s="1" t="s">
        <v>311</v>
      </c>
      <c r="O199" s="1" t="s">
        <v>308</v>
      </c>
      <c r="P199" s="8" t="s">
        <v>309</v>
      </c>
    </row>
    <row r="200" spans="1:16" ht="15.35" x14ac:dyDescent="0.5">
      <c r="A200" s="6" t="s">
        <v>243</v>
      </c>
      <c r="B200" s="1" t="s">
        <v>244</v>
      </c>
      <c r="C200" s="1" t="s">
        <v>245</v>
      </c>
      <c r="D200" s="1" t="s">
        <v>246</v>
      </c>
      <c r="E200" s="1" t="s">
        <v>247</v>
      </c>
      <c r="F200" s="1" t="s">
        <v>262</v>
      </c>
      <c r="G200" s="1" t="s">
        <v>24</v>
      </c>
      <c r="H200" s="1" t="s">
        <v>246</v>
      </c>
      <c r="I200" s="1" t="s">
        <v>312</v>
      </c>
      <c r="J200" s="1" t="s">
        <v>212</v>
      </c>
      <c r="K200" s="2">
        <v>9.17</v>
      </c>
      <c r="L200" s="2">
        <v>100</v>
      </c>
      <c r="M200" s="1" t="s">
        <v>310</v>
      </c>
      <c r="N200" s="1" t="s">
        <v>311</v>
      </c>
      <c r="O200" s="1" t="s">
        <v>308</v>
      </c>
      <c r="P200" s="8" t="s">
        <v>309</v>
      </c>
    </row>
    <row r="201" spans="1:16" ht="15.35" x14ac:dyDescent="0.5">
      <c r="A201" s="6" t="s">
        <v>243</v>
      </c>
      <c r="B201" s="1" t="s">
        <v>244</v>
      </c>
      <c r="C201" s="1" t="s">
        <v>245</v>
      </c>
      <c r="D201" s="1" t="s">
        <v>246</v>
      </c>
      <c r="E201" s="1" t="s">
        <v>247</v>
      </c>
      <c r="F201" s="1" t="s">
        <v>262</v>
      </c>
      <c r="G201" s="1" t="s">
        <v>24</v>
      </c>
      <c r="H201" s="1" t="s">
        <v>246</v>
      </c>
      <c r="I201" s="1" t="s">
        <v>312</v>
      </c>
      <c r="J201" s="1" t="s">
        <v>213</v>
      </c>
      <c r="K201" s="2">
        <v>5.0199999999999996</v>
      </c>
      <c r="L201" s="2">
        <v>100</v>
      </c>
      <c r="M201" s="1" t="s">
        <v>310</v>
      </c>
      <c r="N201" s="1" t="s">
        <v>311</v>
      </c>
      <c r="O201" s="1" t="s">
        <v>308</v>
      </c>
      <c r="P201" s="8" t="s">
        <v>309</v>
      </c>
    </row>
    <row r="202" spans="1:16" ht="15.35" x14ac:dyDescent="0.5">
      <c r="A202" s="6" t="s">
        <v>243</v>
      </c>
      <c r="B202" s="1" t="s">
        <v>244</v>
      </c>
      <c r="C202" s="1" t="s">
        <v>245</v>
      </c>
      <c r="D202" s="1" t="s">
        <v>246</v>
      </c>
      <c r="E202" s="1" t="s">
        <v>247</v>
      </c>
      <c r="F202" s="1" t="s">
        <v>262</v>
      </c>
      <c r="G202" s="1" t="s">
        <v>24</v>
      </c>
      <c r="H202" s="1" t="s">
        <v>246</v>
      </c>
      <c r="I202" s="1" t="s">
        <v>312</v>
      </c>
      <c r="J202" s="1" t="s">
        <v>214</v>
      </c>
      <c r="K202" s="2">
        <v>5.0199999999999996</v>
      </c>
      <c r="L202" s="2">
        <v>100</v>
      </c>
      <c r="M202" s="1" t="s">
        <v>310</v>
      </c>
      <c r="N202" s="1" t="s">
        <v>311</v>
      </c>
      <c r="O202" s="1" t="s">
        <v>308</v>
      </c>
      <c r="P202" s="8" t="s">
        <v>309</v>
      </c>
    </row>
    <row r="203" spans="1:16" ht="15.35" x14ac:dyDescent="0.5">
      <c r="A203" s="6" t="s">
        <v>243</v>
      </c>
      <c r="B203" s="1" t="s">
        <v>244</v>
      </c>
      <c r="C203" s="1" t="s">
        <v>245</v>
      </c>
      <c r="D203" s="1" t="s">
        <v>246</v>
      </c>
      <c r="E203" s="1" t="s">
        <v>247</v>
      </c>
      <c r="F203" s="1" t="s">
        <v>262</v>
      </c>
      <c r="G203" s="1" t="s">
        <v>24</v>
      </c>
      <c r="H203" s="1" t="s">
        <v>246</v>
      </c>
      <c r="I203" s="1" t="s">
        <v>312</v>
      </c>
      <c r="J203" s="1" t="s">
        <v>215</v>
      </c>
      <c r="K203" s="2">
        <v>4.18</v>
      </c>
      <c r="L203" s="2">
        <v>100</v>
      </c>
      <c r="M203" s="1" t="s">
        <v>310</v>
      </c>
      <c r="N203" s="1" t="s">
        <v>311</v>
      </c>
      <c r="O203" s="1" t="s">
        <v>308</v>
      </c>
      <c r="P203" s="8" t="s">
        <v>309</v>
      </c>
    </row>
    <row r="204" spans="1:16" ht="15.35" x14ac:dyDescent="0.5">
      <c r="A204" s="6" t="s">
        <v>243</v>
      </c>
      <c r="B204" s="1" t="s">
        <v>244</v>
      </c>
      <c r="C204" s="1" t="s">
        <v>245</v>
      </c>
      <c r="D204" s="1" t="s">
        <v>246</v>
      </c>
      <c r="E204" s="1" t="s">
        <v>247</v>
      </c>
      <c r="F204" s="1" t="s">
        <v>262</v>
      </c>
      <c r="G204" s="1" t="s">
        <v>24</v>
      </c>
      <c r="H204" s="1" t="s">
        <v>246</v>
      </c>
      <c r="I204" s="1" t="s">
        <v>312</v>
      </c>
      <c r="J204" s="1" t="s">
        <v>182</v>
      </c>
      <c r="K204" s="2">
        <v>7.13</v>
      </c>
      <c r="L204" s="2">
        <v>100</v>
      </c>
      <c r="M204" s="1" t="s">
        <v>277</v>
      </c>
      <c r="N204" s="1" t="s">
        <v>278</v>
      </c>
      <c r="O204" s="1" t="s">
        <v>279</v>
      </c>
      <c r="P204" s="8" t="s">
        <v>280</v>
      </c>
    </row>
    <row r="205" spans="1:16" ht="15.35" x14ac:dyDescent="0.5">
      <c r="A205" s="6" t="s">
        <v>243</v>
      </c>
      <c r="B205" s="1" t="s">
        <v>244</v>
      </c>
      <c r="C205" s="1" t="s">
        <v>245</v>
      </c>
      <c r="D205" s="1" t="s">
        <v>246</v>
      </c>
      <c r="E205" s="1" t="s">
        <v>247</v>
      </c>
      <c r="F205" s="1" t="s">
        <v>262</v>
      </c>
      <c r="G205" s="1" t="s">
        <v>24</v>
      </c>
      <c r="H205" s="1" t="s">
        <v>246</v>
      </c>
      <c r="I205" s="1" t="s">
        <v>312</v>
      </c>
      <c r="J205" s="1" t="s">
        <v>183</v>
      </c>
      <c r="K205" s="2">
        <v>6.58</v>
      </c>
      <c r="L205" s="2">
        <v>100</v>
      </c>
      <c r="M205" s="1" t="s">
        <v>277</v>
      </c>
      <c r="N205" s="1" t="s">
        <v>278</v>
      </c>
      <c r="O205" s="1" t="s">
        <v>306</v>
      </c>
      <c r="P205" s="8" t="s">
        <v>278</v>
      </c>
    </row>
    <row r="206" spans="1:16" ht="15.35" x14ac:dyDescent="0.5">
      <c r="A206" s="6" t="s">
        <v>243</v>
      </c>
      <c r="B206" s="1" t="s">
        <v>244</v>
      </c>
      <c r="C206" s="1" t="s">
        <v>245</v>
      </c>
      <c r="D206" s="1" t="s">
        <v>246</v>
      </c>
      <c r="E206" s="1" t="s">
        <v>247</v>
      </c>
      <c r="F206" s="1" t="s">
        <v>262</v>
      </c>
      <c r="G206" s="1" t="s">
        <v>24</v>
      </c>
      <c r="H206" s="1" t="s">
        <v>246</v>
      </c>
      <c r="I206" s="1" t="s">
        <v>312</v>
      </c>
      <c r="J206" s="1" t="s">
        <v>184</v>
      </c>
      <c r="K206" s="2">
        <v>7.9</v>
      </c>
      <c r="L206" s="2">
        <v>100</v>
      </c>
      <c r="M206" s="1" t="s">
        <v>277</v>
      </c>
      <c r="N206" s="1" t="s">
        <v>278</v>
      </c>
      <c r="O206" s="1" t="s">
        <v>279</v>
      </c>
      <c r="P206" s="8" t="s">
        <v>280</v>
      </c>
    </row>
    <row r="207" spans="1:16" ht="15.35" x14ac:dyDescent="0.5">
      <c r="A207" s="6" t="s">
        <v>243</v>
      </c>
      <c r="B207" s="1" t="s">
        <v>244</v>
      </c>
      <c r="C207" s="1" t="s">
        <v>245</v>
      </c>
      <c r="D207" s="1" t="s">
        <v>246</v>
      </c>
      <c r="E207" s="1" t="s">
        <v>247</v>
      </c>
      <c r="F207" s="1" t="s">
        <v>262</v>
      </c>
      <c r="G207" s="1" t="s">
        <v>24</v>
      </c>
      <c r="H207" s="1" t="s">
        <v>246</v>
      </c>
      <c r="I207" s="1" t="s">
        <v>312</v>
      </c>
      <c r="J207" s="1" t="s">
        <v>185</v>
      </c>
      <c r="K207" s="2">
        <v>60.14</v>
      </c>
      <c r="L207" s="2">
        <v>100</v>
      </c>
      <c r="M207" s="1" t="s">
        <v>269</v>
      </c>
      <c r="N207" s="1" t="s">
        <v>270</v>
      </c>
      <c r="O207" s="1" t="s">
        <v>271</v>
      </c>
      <c r="P207" s="8" t="s">
        <v>272</v>
      </c>
    </row>
    <row r="208" spans="1:16" ht="30.35" x14ac:dyDescent="0.5">
      <c r="A208" s="6" t="s">
        <v>243</v>
      </c>
      <c r="B208" s="1" t="s">
        <v>244</v>
      </c>
      <c r="C208" s="1" t="s">
        <v>245</v>
      </c>
      <c r="D208" s="1" t="s">
        <v>246</v>
      </c>
      <c r="E208" s="1" t="s">
        <v>247</v>
      </c>
      <c r="F208" s="1" t="s">
        <v>262</v>
      </c>
      <c r="G208" s="1" t="s">
        <v>24</v>
      </c>
      <c r="H208" s="1" t="s">
        <v>246</v>
      </c>
      <c r="I208" s="1" t="s">
        <v>312</v>
      </c>
      <c r="J208" s="1" t="s">
        <v>186</v>
      </c>
      <c r="K208" s="2">
        <v>7.98</v>
      </c>
      <c r="L208" s="2">
        <v>100</v>
      </c>
      <c r="M208" s="1" t="s">
        <v>285</v>
      </c>
      <c r="N208" s="1" t="s">
        <v>286</v>
      </c>
      <c r="O208" s="1" t="s">
        <v>296</v>
      </c>
      <c r="P208" s="8" t="s">
        <v>297</v>
      </c>
    </row>
    <row r="209" spans="1:16" ht="15.35" x14ac:dyDescent="0.5">
      <c r="A209" s="6" t="s">
        <v>243</v>
      </c>
      <c r="B209" s="1" t="s">
        <v>244</v>
      </c>
      <c r="C209" s="1" t="s">
        <v>245</v>
      </c>
      <c r="D209" s="1" t="s">
        <v>246</v>
      </c>
      <c r="E209" s="1" t="s">
        <v>247</v>
      </c>
      <c r="F209" s="1" t="s">
        <v>262</v>
      </c>
      <c r="G209" s="1" t="s">
        <v>24</v>
      </c>
      <c r="H209" s="1" t="s">
        <v>246</v>
      </c>
      <c r="I209" s="1" t="s">
        <v>312</v>
      </c>
      <c r="J209" s="1" t="s">
        <v>188</v>
      </c>
      <c r="K209" s="2">
        <v>57.39</v>
      </c>
      <c r="L209" s="2">
        <v>100</v>
      </c>
      <c r="M209" s="1" t="s">
        <v>269</v>
      </c>
      <c r="N209" s="1" t="s">
        <v>270</v>
      </c>
      <c r="O209" s="1" t="s">
        <v>271</v>
      </c>
      <c r="P209" s="8" t="s">
        <v>272</v>
      </c>
    </row>
    <row r="210" spans="1:16" ht="15.35" x14ac:dyDescent="0.5">
      <c r="A210" s="6" t="s">
        <v>243</v>
      </c>
      <c r="B210" s="1" t="s">
        <v>244</v>
      </c>
      <c r="C210" s="1" t="s">
        <v>245</v>
      </c>
      <c r="D210" s="1" t="s">
        <v>246</v>
      </c>
      <c r="E210" s="1" t="s">
        <v>247</v>
      </c>
      <c r="F210" s="1" t="s">
        <v>262</v>
      </c>
      <c r="G210" s="1" t="s">
        <v>24</v>
      </c>
      <c r="H210" s="1" t="s">
        <v>246</v>
      </c>
      <c r="I210" s="1" t="s">
        <v>312</v>
      </c>
      <c r="J210" s="1" t="s">
        <v>219</v>
      </c>
      <c r="K210" s="2">
        <v>5.01</v>
      </c>
      <c r="L210" s="2">
        <v>100</v>
      </c>
      <c r="M210" s="1" t="s">
        <v>310</v>
      </c>
      <c r="N210" s="1" t="s">
        <v>311</v>
      </c>
      <c r="O210" s="1" t="s">
        <v>308</v>
      </c>
      <c r="P210" s="8" t="s">
        <v>309</v>
      </c>
    </row>
    <row r="211" spans="1:16" ht="15.35" x14ac:dyDescent="0.5">
      <c r="A211" s="6" t="s">
        <v>243</v>
      </c>
      <c r="B211" s="1" t="s">
        <v>244</v>
      </c>
      <c r="C211" s="1" t="s">
        <v>245</v>
      </c>
      <c r="D211" s="1" t="s">
        <v>246</v>
      </c>
      <c r="E211" s="1" t="s">
        <v>247</v>
      </c>
      <c r="F211" s="1" t="s">
        <v>262</v>
      </c>
      <c r="G211" s="1" t="s">
        <v>24</v>
      </c>
      <c r="H211" s="1" t="s">
        <v>246</v>
      </c>
      <c r="I211" s="1" t="s">
        <v>312</v>
      </c>
      <c r="J211" s="1" t="s">
        <v>220</v>
      </c>
      <c r="K211" s="2">
        <v>4.97</v>
      </c>
      <c r="L211" s="2">
        <v>100</v>
      </c>
      <c r="M211" s="1" t="s">
        <v>310</v>
      </c>
      <c r="N211" s="1" t="s">
        <v>311</v>
      </c>
      <c r="O211" s="1" t="s">
        <v>308</v>
      </c>
      <c r="P211" s="8" t="s">
        <v>309</v>
      </c>
    </row>
    <row r="212" spans="1:16" ht="15.35" x14ac:dyDescent="0.5">
      <c r="A212" s="6" t="s">
        <v>243</v>
      </c>
      <c r="B212" s="1" t="s">
        <v>244</v>
      </c>
      <c r="C212" s="1" t="s">
        <v>245</v>
      </c>
      <c r="D212" s="1" t="s">
        <v>246</v>
      </c>
      <c r="E212" s="1" t="s">
        <v>247</v>
      </c>
      <c r="F212" s="1" t="s">
        <v>262</v>
      </c>
      <c r="G212" s="1" t="s">
        <v>24</v>
      </c>
      <c r="H212" s="1" t="s">
        <v>246</v>
      </c>
      <c r="I212" s="1" t="s">
        <v>312</v>
      </c>
      <c r="J212" s="1" t="s">
        <v>222</v>
      </c>
      <c r="K212" s="2">
        <v>5.01</v>
      </c>
      <c r="L212" s="2">
        <v>100</v>
      </c>
      <c r="M212" s="1" t="s">
        <v>310</v>
      </c>
      <c r="N212" s="1" t="s">
        <v>311</v>
      </c>
      <c r="O212" s="1" t="s">
        <v>308</v>
      </c>
      <c r="P212" s="8" t="s">
        <v>309</v>
      </c>
    </row>
    <row r="213" spans="1:16" ht="15.35" x14ac:dyDescent="0.5">
      <c r="A213" s="6" t="s">
        <v>243</v>
      </c>
      <c r="B213" s="1" t="s">
        <v>244</v>
      </c>
      <c r="C213" s="1" t="s">
        <v>245</v>
      </c>
      <c r="D213" s="1" t="s">
        <v>246</v>
      </c>
      <c r="E213" s="1" t="s">
        <v>247</v>
      </c>
      <c r="F213" s="1" t="s">
        <v>262</v>
      </c>
      <c r="G213" s="1" t="s">
        <v>24</v>
      </c>
      <c r="H213" s="1" t="s">
        <v>246</v>
      </c>
      <c r="I213" s="1" t="s">
        <v>312</v>
      </c>
      <c r="J213" s="1" t="s">
        <v>223</v>
      </c>
      <c r="K213" s="2">
        <v>4.97</v>
      </c>
      <c r="L213" s="2">
        <v>100</v>
      </c>
      <c r="M213" s="1" t="s">
        <v>310</v>
      </c>
      <c r="N213" s="1" t="s">
        <v>311</v>
      </c>
      <c r="O213" s="1" t="s">
        <v>308</v>
      </c>
      <c r="P213" s="8" t="s">
        <v>309</v>
      </c>
    </row>
    <row r="214" spans="1:16" ht="15.35" x14ac:dyDescent="0.5">
      <c r="A214" s="6" t="s">
        <v>243</v>
      </c>
      <c r="B214" s="1" t="s">
        <v>244</v>
      </c>
      <c r="C214" s="1" t="s">
        <v>245</v>
      </c>
      <c r="D214" s="1" t="s">
        <v>246</v>
      </c>
      <c r="E214" s="1" t="s">
        <v>247</v>
      </c>
      <c r="F214" s="1" t="s">
        <v>262</v>
      </c>
      <c r="G214" s="1" t="s">
        <v>24</v>
      </c>
      <c r="H214" s="1" t="s">
        <v>246</v>
      </c>
      <c r="I214" s="1" t="s">
        <v>312</v>
      </c>
      <c r="J214" s="1" t="s">
        <v>225</v>
      </c>
      <c r="K214" s="2">
        <v>5.01</v>
      </c>
      <c r="L214" s="2">
        <v>100</v>
      </c>
      <c r="M214" s="1" t="s">
        <v>310</v>
      </c>
      <c r="N214" s="1" t="s">
        <v>311</v>
      </c>
      <c r="O214" s="1" t="s">
        <v>308</v>
      </c>
      <c r="P214" s="8" t="s">
        <v>309</v>
      </c>
    </row>
    <row r="215" spans="1:16" ht="15.35" x14ac:dyDescent="0.5">
      <c r="A215" s="14" t="s">
        <v>243</v>
      </c>
      <c r="B215" s="15" t="s">
        <v>244</v>
      </c>
      <c r="C215" s="15" t="s">
        <v>245</v>
      </c>
      <c r="D215" s="15" t="s">
        <v>246</v>
      </c>
      <c r="E215" s="15" t="s">
        <v>247</v>
      </c>
      <c r="F215" s="15" t="s">
        <v>262</v>
      </c>
      <c r="G215" s="15" t="s">
        <v>24</v>
      </c>
      <c r="H215" s="15" t="s">
        <v>246</v>
      </c>
      <c r="I215" s="15" t="s">
        <v>312</v>
      </c>
      <c r="J215" s="15" t="s">
        <v>226</v>
      </c>
      <c r="K215" s="16">
        <v>4.97</v>
      </c>
      <c r="L215" s="16">
        <v>100</v>
      </c>
      <c r="M215" s="15" t="s">
        <v>310</v>
      </c>
      <c r="N215" s="15" t="s">
        <v>311</v>
      </c>
      <c r="O215" s="15" t="s">
        <v>308</v>
      </c>
      <c r="P215" s="17" t="s">
        <v>309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7D573916D99E4FA06F25F12DBE45E8" ma:contentTypeVersion="4" ma:contentTypeDescription="Create a new document." ma:contentTypeScope="" ma:versionID="057fa5babeedcbaa4cc8b14c3ca03546">
  <xsd:schema xmlns:xsd="http://www.w3.org/2001/XMLSchema" xmlns:xs="http://www.w3.org/2001/XMLSchema" xmlns:p="http://schemas.microsoft.com/office/2006/metadata/properties" xmlns:ns2="085d9b42-be57-4594-aa2f-4bb72e3117a2" targetNamespace="http://schemas.microsoft.com/office/2006/metadata/properties" ma:root="true" ma:fieldsID="6a16b7f219021972064b93179e1e3b0f" ns2:_="">
    <xsd:import namespace="085d9b42-be57-4594-aa2f-4bb72e3117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d9b42-be57-4594-aa2f-4bb72e311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DD0812-5B90-4ECE-A4D4-655320CDBB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B0D304-B082-43B2-8791-CE81655179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281922-07A4-4005-B21B-9FEB47E9C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d9b42-be57-4594-aa2f-4bb72e311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Floor 1</vt:lpstr>
      <vt:lpstr>Floor 2</vt:lpstr>
      <vt:lpstr>Floor 3</vt:lpstr>
      <vt:lpstr>Floor 4</vt:lpstr>
      <vt:lpstr>Floor 5</vt:lpstr>
      <vt:lpstr>Room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bradley.briannam@gmail.com</dc:creator>
  <cp:keywords/>
  <dc:description/>
  <cp:lastModifiedBy>Rob Knobel</cp:lastModifiedBy>
  <cp:revision/>
  <dcterms:created xsi:type="dcterms:W3CDTF">2020-05-14T18:16:01Z</dcterms:created>
  <dcterms:modified xsi:type="dcterms:W3CDTF">2020-06-10T14:45:15Z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0x010100C27D573916D99E4FA06F25F12DBE45E8</vt:lpwstr>
  </property>
</Properties>
</file>